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1"/>
  </bookViews>
  <sheets>
    <sheet name="calculation" sheetId="1" r:id="rId1"/>
    <sheet name="bearing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<sst xmlns="http://schemas.openxmlformats.org/spreadsheetml/2006/main" count="166" uniqueCount="81">
  <si>
    <t>Watt</t>
  </si>
  <si>
    <t>dBm</t>
  </si>
  <si>
    <t>Power</t>
  </si>
  <si>
    <t>mWatt</t>
  </si>
  <si>
    <t>Free Space Loss</t>
  </si>
  <si>
    <t>MHz</t>
  </si>
  <si>
    <t>Miles</t>
  </si>
  <si>
    <t>FSL</t>
  </si>
  <si>
    <t>dB</t>
  </si>
  <si>
    <t>RX Signal Level</t>
  </si>
  <si>
    <t>TX Power</t>
  </si>
  <si>
    <t>TX Cable Loss</t>
  </si>
  <si>
    <t>TX Antenna Gain</t>
  </si>
  <si>
    <t>RX Antenna Gain</t>
  </si>
  <si>
    <t>RX cable Loss</t>
  </si>
  <si>
    <t>RX Sensitivity</t>
  </si>
  <si>
    <t xml:space="preserve">dB </t>
  </si>
  <si>
    <t>Operating Margin</t>
  </si>
  <si>
    <t>Antenna Tilt</t>
  </si>
  <si>
    <t>Base Antenna</t>
  </si>
  <si>
    <t>Remote Antenna</t>
  </si>
  <si>
    <t>Tilt</t>
  </si>
  <si>
    <t>Fresnel Zone Clearance</t>
  </si>
  <si>
    <t>Radius FZC</t>
  </si>
  <si>
    <t>feet</t>
  </si>
  <si>
    <t>meter</t>
  </si>
  <si>
    <t>km</t>
  </si>
  <si>
    <t>miles</t>
  </si>
  <si>
    <t>FZC</t>
  </si>
  <si>
    <t>Calculation For Wireless Network</t>
  </si>
  <si>
    <t>Conversion</t>
  </si>
  <si>
    <t>Distance</t>
  </si>
  <si>
    <t>Frequency</t>
  </si>
  <si>
    <t>for compensating Fading &amp; Multipath problem</t>
  </si>
  <si>
    <t>degree</t>
  </si>
  <si>
    <t>feet above sea level</t>
  </si>
  <si>
    <t>GHz</t>
  </si>
  <si>
    <t>In reality we need at least additional 10-15dB margin</t>
  </si>
  <si>
    <t>Antenna Downtilt Coverage Radius</t>
  </si>
  <si>
    <t>Antenna Height</t>
  </si>
  <si>
    <t>Feet</t>
  </si>
  <si>
    <t>Meter</t>
  </si>
  <si>
    <t>Beam Width</t>
  </si>
  <si>
    <t>Inner Radius</t>
  </si>
  <si>
    <t>Outer Radius</t>
  </si>
  <si>
    <t>Coverage</t>
  </si>
  <si>
    <t>deg</t>
  </si>
  <si>
    <t>80% FSC</t>
  </si>
  <si>
    <t>80% FZC</t>
  </si>
  <si>
    <t>By: Onno W. Purbo YC0MLC ex YC1DAV</t>
  </si>
  <si>
    <t>Antenna Isolation</t>
  </si>
  <si>
    <t>Vertical</t>
  </si>
  <si>
    <t>Horizontal</t>
  </si>
  <si>
    <t>QTH Loc., Distance and Bearing from A to B</t>
  </si>
  <si>
    <t xml:space="preserve">Location of A: </t>
  </si>
  <si>
    <t>Lat-A</t>
  </si>
  <si>
    <t>o</t>
  </si>
  <si>
    <t>'</t>
  </si>
  <si>
    <t>''</t>
  </si>
  <si>
    <t>S</t>
  </si>
  <si>
    <t>Lon-A</t>
  </si>
  <si>
    <t>E</t>
  </si>
  <si>
    <t>Location of B:</t>
  </si>
  <si>
    <t>Lat-B</t>
  </si>
  <si>
    <t>Lon-B</t>
  </si>
  <si>
    <t>L</t>
  </si>
  <si>
    <t>Cos-L</t>
  </si>
  <si>
    <t>Cot-B</t>
  </si>
  <si>
    <t>phi</t>
  </si>
  <si>
    <t>Cot-L</t>
  </si>
  <si>
    <t>Cos-(A+phi)</t>
  </si>
  <si>
    <t>Sin-(phi)</t>
  </si>
  <si>
    <t>Cot-C</t>
  </si>
  <si>
    <t>Tan-C</t>
  </si>
  <si>
    <t>C-raw</t>
  </si>
  <si>
    <t>Bearing</t>
  </si>
  <si>
    <t>CW</t>
  </si>
  <si>
    <t>CCW</t>
  </si>
  <si>
    <t>Cos-D</t>
  </si>
  <si>
    <t>Developed by: Mula W. Wangsaputra - YB1BUL</t>
  </si>
  <si>
    <t>BASE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</si>
</sst>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00"/>
    <numFmt numFmtId="167" formatCode="#,##0.0"/>
    <numFmt numFmtId="168" formatCode="#,##0.000000"/>
    <numFmt numFmtId="169" formatCode="_(* #,##0_);_(* \(#,##0\);_(* &quot;-&quot;??_);_(@_)"/>
    <numFmt numFmtId="170" formatCode="_(* #,##0.0_);_(* \(#,##0.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vertAlign val="superscript"/>
      <sz val="14"/>
      <color indexed="9"/>
      <name val="Arial"/>
      <family val="2"/>
    </font>
    <font>
      <b/>
      <vertAlign val="superscript"/>
      <sz val="14"/>
      <name val="Arial"/>
      <family val="2"/>
    </font>
    <font>
      <vertAlign val="superscript"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166" fontId="2" fillId="0" borderId="0" xfId="15" applyNumberFormat="1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/>
    </xf>
    <xf numFmtId="166" fontId="2" fillId="0" borderId="0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2" borderId="1" xfId="0" applyFont="1" applyFill="1" applyBorder="1" applyAlignment="1">
      <alignment/>
    </xf>
    <xf numFmtId="0" fontId="7" fillId="3" borderId="2" xfId="0" applyFont="1" applyFill="1" applyBorder="1" applyAlignment="1" applyProtection="1">
      <alignment/>
      <protection locked="0"/>
    </xf>
    <xf numFmtId="0" fontId="8" fillId="3" borderId="3" xfId="0" applyFont="1" applyFill="1" applyBorder="1" applyAlignment="1" quotePrefix="1">
      <alignment/>
    </xf>
    <xf numFmtId="0" fontId="7" fillId="3" borderId="3" xfId="0" applyFont="1" applyFill="1" applyBorder="1" applyAlignment="1" applyProtection="1">
      <alignment/>
      <protection locked="0"/>
    </xf>
    <xf numFmtId="0" fontId="7" fillId="3" borderId="3" xfId="0" applyFont="1" applyFill="1" applyBorder="1" applyAlignment="1" quotePrefix="1">
      <alignment/>
    </xf>
    <xf numFmtId="167" fontId="7" fillId="3" borderId="3" xfId="15" applyNumberFormat="1" applyFont="1" applyFill="1" applyBorder="1" applyAlignment="1" applyProtection="1">
      <alignment/>
      <protection locked="0"/>
    </xf>
    <xf numFmtId="168" fontId="2" fillId="2" borderId="4" xfId="15" applyNumberFormat="1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7" fillId="3" borderId="6" xfId="0" applyFont="1" applyFill="1" applyBorder="1" applyAlignment="1" applyProtection="1">
      <alignment/>
      <protection locked="0"/>
    </xf>
    <xf numFmtId="0" fontId="8" fillId="3" borderId="7" xfId="0" applyFont="1" applyFill="1" applyBorder="1" applyAlignment="1" quotePrefix="1">
      <alignment/>
    </xf>
    <xf numFmtId="0" fontId="7" fillId="3" borderId="7" xfId="0" applyFont="1" applyFill="1" applyBorder="1" applyAlignment="1" applyProtection="1">
      <alignment/>
      <protection locked="0"/>
    </xf>
    <xf numFmtId="0" fontId="7" fillId="3" borderId="7" xfId="0" applyFont="1" applyFill="1" applyBorder="1" applyAlignment="1" quotePrefix="1">
      <alignment/>
    </xf>
    <xf numFmtId="167" fontId="7" fillId="3" borderId="7" xfId="15" applyNumberFormat="1" applyFont="1" applyFill="1" applyBorder="1" applyAlignment="1" applyProtection="1">
      <alignment/>
      <protection locked="0"/>
    </xf>
    <xf numFmtId="168" fontId="2" fillId="2" borderId="8" xfId="15" applyNumberFormat="1" applyFont="1" applyFill="1" applyBorder="1" applyAlignment="1">
      <alignment/>
    </xf>
    <xf numFmtId="0" fontId="5" fillId="0" borderId="9" xfId="0" applyFont="1" applyBorder="1" applyAlignment="1">
      <alignment/>
    </xf>
    <xf numFmtId="0" fontId="7" fillId="3" borderId="10" xfId="0" applyFont="1" applyFill="1" applyBorder="1" applyAlignment="1" applyProtection="1">
      <alignment/>
      <protection locked="0"/>
    </xf>
    <xf numFmtId="0" fontId="7" fillId="3" borderId="11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>
      <alignment/>
    </xf>
    <xf numFmtId="0" fontId="7" fillId="0" borderId="12" xfId="0" applyFont="1" applyFill="1" applyBorder="1" applyAlignment="1" applyProtection="1">
      <alignment/>
      <protection locked="0"/>
    </xf>
    <xf numFmtId="0" fontId="8" fillId="0" borderId="12" xfId="0" applyFont="1" applyFill="1" applyBorder="1" applyAlignment="1" quotePrefix="1">
      <alignment/>
    </xf>
    <xf numFmtId="0" fontId="7" fillId="0" borderId="12" xfId="0" applyFont="1" applyFill="1" applyBorder="1" applyAlignment="1" quotePrefix="1">
      <alignment/>
    </xf>
    <xf numFmtId="167" fontId="7" fillId="0" borderId="12" xfId="15" applyNumberFormat="1" applyFont="1" applyFill="1" applyBorder="1" applyAlignment="1" applyProtection="1">
      <alignment/>
      <protection locked="0"/>
    </xf>
    <xf numFmtId="166" fontId="2" fillId="0" borderId="12" xfId="15" applyNumberFormat="1" applyFont="1" applyFill="1" applyBorder="1" applyAlignment="1">
      <alignment/>
    </xf>
    <xf numFmtId="0" fontId="9" fillId="0" borderId="12" xfId="0" applyFont="1" applyFill="1" applyBorder="1" applyAlignment="1" quotePrefix="1">
      <alignment/>
    </xf>
    <xf numFmtId="0" fontId="2" fillId="0" borderId="12" xfId="0" applyFont="1" applyBorder="1" applyAlignment="1">
      <alignment/>
    </xf>
    <xf numFmtId="166" fontId="2" fillId="0" borderId="12" xfId="15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66" fontId="2" fillId="0" borderId="14" xfId="15" applyNumberFormat="1" applyFont="1" applyBorder="1" applyAlignment="1">
      <alignment/>
    </xf>
    <xf numFmtId="0" fontId="2" fillId="0" borderId="16" xfId="0" applyFont="1" applyBorder="1" applyAlignment="1">
      <alignment/>
    </xf>
    <xf numFmtId="0" fontId="10" fillId="0" borderId="16" xfId="0" applyFont="1" applyBorder="1" applyAlignment="1" quotePrefix="1">
      <alignment/>
    </xf>
    <xf numFmtId="167" fontId="2" fillId="0" borderId="14" xfId="15" applyNumberFormat="1" applyFont="1" applyBorder="1" applyAlignment="1">
      <alignment/>
    </xf>
    <xf numFmtId="167" fontId="2" fillId="0" borderId="0" xfId="15" applyNumberFormat="1" applyFont="1" applyBorder="1" applyAlignment="1">
      <alignment/>
    </xf>
    <xf numFmtId="0" fontId="10" fillId="0" borderId="0" xfId="0" applyFont="1" applyBorder="1" applyAlignment="1" quotePrefix="1">
      <alignment/>
    </xf>
    <xf numFmtId="0" fontId="8" fillId="4" borderId="3" xfId="0" applyFont="1" applyFill="1" applyBorder="1" applyAlignment="1" quotePrefix="1">
      <alignment/>
    </xf>
    <xf numFmtId="0" fontId="7" fillId="4" borderId="10" xfId="0" applyFont="1" applyFill="1" applyBorder="1" applyAlignment="1">
      <alignment/>
    </xf>
    <xf numFmtId="43" fontId="2" fillId="0" borderId="0" xfId="0" applyNumberFormat="1" applyFont="1" applyAlignment="1">
      <alignment/>
    </xf>
    <xf numFmtId="170" fontId="7" fillId="4" borderId="17" xfId="15" applyNumberFormat="1" applyFont="1" applyFill="1" applyBorder="1" applyAlignment="1">
      <alignment horizontal="center"/>
    </xf>
    <xf numFmtId="170" fontId="7" fillId="4" borderId="18" xfId="15" applyNumberFormat="1" applyFont="1" applyFill="1" applyBorder="1" applyAlignment="1">
      <alignment horizontal="center"/>
    </xf>
    <xf numFmtId="169" fontId="7" fillId="4" borderId="18" xfId="15" applyNumberFormat="1" applyFont="1" applyFill="1" applyBorder="1" applyAlignment="1">
      <alignment horizontal="center"/>
    </xf>
    <xf numFmtId="0" fontId="8" fillId="4" borderId="18" xfId="0" applyFont="1" applyFill="1" applyBorder="1" applyAlignment="1" quotePrefix="1">
      <alignment/>
    </xf>
    <xf numFmtId="0" fontId="7" fillId="4" borderId="19" xfId="0" applyFont="1" applyFill="1" applyBorder="1" applyAlignment="1">
      <alignment/>
    </xf>
    <xf numFmtId="0" fontId="7" fillId="4" borderId="13" xfId="0" applyFont="1" applyFill="1" applyBorder="1" applyAlignment="1">
      <alignment/>
    </xf>
    <xf numFmtId="0" fontId="7" fillId="4" borderId="14" xfId="0" applyFont="1" applyFill="1" applyBorder="1" applyAlignment="1">
      <alignment/>
    </xf>
    <xf numFmtId="0" fontId="7" fillId="4" borderId="15" xfId="0" applyFont="1" applyFill="1" applyBorder="1" applyAlignment="1">
      <alignment/>
    </xf>
    <xf numFmtId="43" fontId="7" fillId="4" borderId="15" xfId="15" applyNumberFormat="1" applyFont="1" applyFill="1" applyBorder="1" applyAlignment="1">
      <alignment/>
    </xf>
    <xf numFmtId="0" fontId="7" fillId="4" borderId="20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5" xfId="0" applyFont="1" applyFill="1" applyBorder="1" applyAlignment="1">
      <alignment/>
    </xf>
    <xf numFmtId="0" fontId="4" fillId="5" borderId="22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5" fillId="0" borderId="9" xfId="0" applyFont="1" applyBorder="1" applyAlignment="1" applyProtection="1">
      <alignment horizontal="center"/>
      <protection locked="0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1" fontId="7" fillId="4" borderId="24" xfId="15" applyNumberFormat="1" applyFont="1" applyFill="1" applyBorder="1" applyAlignment="1">
      <alignment horizontal="center" vertical="center"/>
    </xf>
    <xf numFmtId="1" fontId="7" fillId="4" borderId="25" xfId="15" applyNumberFormat="1" applyFont="1" applyFill="1" applyBorder="1" applyAlignment="1">
      <alignment horizontal="center" vertical="center"/>
    </xf>
    <xf numFmtId="1" fontId="7" fillId="4" borderId="24" xfId="0" applyNumberFormat="1" applyFont="1" applyFill="1" applyBorder="1" applyAlignment="1">
      <alignment horizontal="center" vertical="center"/>
    </xf>
    <xf numFmtId="1" fontId="7" fillId="4" borderId="25" xfId="0" applyNumberFormat="1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170" fontId="7" fillId="4" borderId="6" xfId="15" applyNumberFormat="1" applyFont="1" applyFill="1" applyBorder="1" applyAlignment="1">
      <alignment horizontal="center"/>
    </xf>
    <xf numFmtId="170" fontId="7" fillId="4" borderId="7" xfId="15" applyNumberFormat="1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4" borderId="30" xfId="0" applyFont="1" applyFill="1" applyBorder="1" applyAlignment="1">
      <alignment horizontal="left" vertical="center"/>
    </xf>
    <xf numFmtId="0" fontId="7" fillId="4" borderId="31" xfId="0" applyFont="1" applyFill="1" applyBorder="1" applyAlignment="1">
      <alignment horizontal="left" vertical="center"/>
    </xf>
    <xf numFmtId="169" fontId="7" fillId="4" borderId="2" xfId="15" applyNumberFormat="1" applyFont="1" applyFill="1" applyBorder="1" applyAlignment="1">
      <alignment horizontal="center"/>
    </xf>
    <xf numFmtId="169" fontId="7" fillId="4" borderId="3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brary\library-ref-ind\ref-ind-1\physical\wireless\QTH-Dist-Bearing-acc-qr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ho-Theta"/>
      <sheetName val="Location Data"/>
      <sheetName val="QTH-A"/>
      <sheetName val="QTH-B"/>
    </sheetNames>
    <sheetDataSet>
      <sheetData sheetId="2">
        <row r="8">
          <cell r="J8" t="str">
            <v>I</v>
          </cell>
        </row>
        <row r="9">
          <cell r="J9" t="str">
            <v>J</v>
          </cell>
        </row>
        <row r="10">
          <cell r="J10">
            <v>3.083611111111111</v>
          </cell>
        </row>
        <row r="12">
          <cell r="J12" t="str">
            <v>Sub3</v>
          </cell>
        </row>
        <row r="13">
          <cell r="J13" t="str">
            <v>&gt;=i</v>
          </cell>
        </row>
        <row r="14">
          <cell r="J14" t="str">
            <v>&gt;=q</v>
          </cell>
        </row>
        <row r="15">
          <cell r="J15" t="str">
            <v>v</v>
          </cell>
        </row>
        <row r="16">
          <cell r="J16" t="str">
            <v>&lt;=p</v>
          </cell>
        </row>
        <row r="17">
          <cell r="J17" t="str">
            <v>&lt;=h</v>
          </cell>
        </row>
        <row r="18">
          <cell r="J18" t="str">
            <v>c</v>
          </cell>
        </row>
        <row r="20">
          <cell r="J20" t="str">
            <v>I</v>
          </cell>
        </row>
        <row r="21">
          <cell r="J21" t="str">
            <v>O</v>
          </cell>
        </row>
        <row r="22">
          <cell r="J22">
            <v>3.8348611111111097</v>
          </cell>
        </row>
        <row r="23">
          <cell r="J23" t="str">
            <v>Odd</v>
          </cell>
        </row>
        <row r="25">
          <cell r="J25" t="str">
            <v>Sub2</v>
          </cell>
        </row>
        <row r="26">
          <cell r="J26" t="str">
            <v>&lt;=r</v>
          </cell>
        </row>
        <row r="27">
          <cell r="J27" t="str">
            <v>p</v>
          </cell>
        </row>
        <row r="28">
          <cell r="J28" t="str">
            <v>&lt;=f</v>
          </cell>
        </row>
        <row r="29">
          <cell r="J29" t="str">
            <v>d</v>
          </cell>
        </row>
      </sheetData>
      <sheetData sheetId="3">
        <row r="8">
          <cell r="J8" t="str">
            <v>I</v>
          </cell>
        </row>
        <row r="9">
          <cell r="J9" t="str">
            <v>J</v>
          </cell>
        </row>
        <row r="10">
          <cell r="J10">
            <v>3.0729722222222122</v>
          </cell>
        </row>
        <row r="12">
          <cell r="J12" t="str">
            <v>Sub3</v>
          </cell>
        </row>
        <row r="13">
          <cell r="J13" t="str">
            <v>&gt;=i</v>
          </cell>
        </row>
        <row r="14">
          <cell r="J14" t="str">
            <v>&gt;=q</v>
          </cell>
        </row>
        <row r="15">
          <cell r="J15" t="str">
            <v>w</v>
          </cell>
        </row>
        <row r="16">
          <cell r="J16" t="str">
            <v>&lt;=p</v>
          </cell>
        </row>
        <row r="17">
          <cell r="J17" t="str">
            <v>&lt;=h</v>
          </cell>
        </row>
        <row r="18">
          <cell r="J18" t="str">
            <v>b</v>
          </cell>
        </row>
        <row r="20">
          <cell r="J20" t="str">
            <v>I</v>
          </cell>
        </row>
        <row r="21">
          <cell r="J21" t="str">
            <v>O</v>
          </cell>
        </row>
        <row r="22">
          <cell r="J22">
            <v>3.7979999999999947</v>
          </cell>
        </row>
        <row r="23">
          <cell r="J23" t="str">
            <v>Odd</v>
          </cell>
        </row>
        <row r="25">
          <cell r="J25" t="str">
            <v>Sub2</v>
          </cell>
        </row>
        <row r="26">
          <cell r="J26" t="str">
            <v>&lt;=r</v>
          </cell>
        </row>
        <row r="27">
          <cell r="J27" t="str">
            <v>q</v>
          </cell>
        </row>
        <row r="28">
          <cell r="J28" t="str">
            <v>&lt;=f</v>
          </cell>
        </row>
        <row r="29">
          <cell r="J29" t="str">
            <v>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zoomScale="150" zoomScaleNormal="150" workbookViewId="0" topLeftCell="A20">
      <selection activeCell="B30" sqref="B30"/>
    </sheetView>
  </sheetViews>
  <sheetFormatPr defaultColWidth="9.140625" defaultRowHeight="12.75"/>
  <cols>
    <col min="1" max="1" width="14.8515625" style="0" customWidth="1"/>
    <col min="2" max="2" width="12.28125" style="0" bestFit="1" customWidth="1"/>
  </cols>
  <sheetData>
    <row r="1" ht="12.75">
      <c r="A1" s="1" t="s">
        <v>29</v>
      </c>
    </row>
    <row r="2" ht="12.75">
      <c r="A2" s="1" t="s">
        <v>49</v>
      </c>
    </row>
    <row r="4" ht="12.75">
      <c r="A4" s="1" t="s">
        <v>30</v>
      </c>
    </row>
    <row r="5" spans="1:5" ht="12.75">
      <c r="A5" t="s">
        <v>2</v>
      </c>
      <c r="B5">
        <v>1</v>
      </c>
      <c r="C5" t="s">
        <v>0</v>
      </c>
      <c r="D5" s="2">
        <f>10*LOG(B5)+30</f>
        <v>30</v>
      </c>
      <c r="E5" t="s">
        <v>1</v>
      </c>
    </row>
    <row r="6" spans="1:7" ht="12.75">
      <c r="A6" t="s">
        <v>2</v>
      </c>
      <c r="B6">
        <v>20</v>
      </c>
      <c r="C6" t="s">
        <v>1</v>
      </c>
      <c r="D6">
        <f>10^((B6-30)/10)</f>
        <v>0.1</v>
      </c>
      <c r="E6" t="s">
        <v>0</v>
      </c>
      <c r="F6">
        <f>10^((B6)/10)</f>
        <v>100</v>
      </c>
      <c r="G6" t="s">
        <v>3</v>
      </c>
    </row>
    <row r="7" spans="1:5" ht="12.75">
      <c r="A7" t="s">
        <v>31</v>
      </c>
      <c r="B7">
        <v>3.2</v>
      </c>
      <c r="C7" t="s">
        <v>26</v>
      </c>
      <c r="D7" s="2">
        <f>B7/1.609344</f>
        <v>1.9883878151594687</v>
      </c>
      <c r="E7" t="s">
        <v>27</v>
      </c>
    </row>
    <row r="8" spans="1:5" ht="12.75">
      <c r="A8" t="s">
        <v>31</v>
      </c>
      <c r="B8">
        <v>85</v>
      </c>
      <c r="C8" t="s">
        <v>27</v>
      </c>
      <c r="D8" s="2">
        <f>B8*1.609344</f>
        <v>136.79424</v>
      </c>
      <c r="E8" t="s">
        <v>26</v>
      </c>
    </row>
    <row r="9" spans="1:5" ht="12.75">
      <c r="A9" t="s">
        <v>31</v>
      </c>
      <c r="B9">
        <v>30</v>
      </c>
      <c r="C9" t="s">
        <v>24</v>
      </c>
      <c r="D9" s="4">
        <f>B9*0.3048</f>
        <v>9.144</v>
      </c>
      <c r="E9" t="s">
        <v>25</v>
      </c>
    </row>
    <row r="10" spans="1:5" ht="12.75">
      <c r="A10" t="s">
        <v>31</v>
      </c>
      <c r="B10">
        <v>40</v>
      </c>
      <c r="C10" t="s">
        <v>25</v>
      </c>
      <c r="D10" s="4">
        <f>B10/0.3048</f>
        <v>131.23359580052494</v>
      </c>
      <c r="E10" t="s">
        <v>24</v>
      </c>
    </row>
    <row r="12" ht="12.75">
      <c r="A12" s="1" t="s">
        <v>4</v>
      </c>
    </row>
    <row r="13" spans="1:3" ht="12.75">
      <c r="A13" t="s">
        <v>32</v>
      </c>
      <c r="B13">
        <v>2400</v>
      </c>
      <c r="C13" t="s">
        <v>5</v>
      </c>
    </row>
    <row r="14" spans="1:3" ht="12.75">
      <c r="A14" t="s">
        <v>31</v>
      </c>
      <c r="B14">
        <v>5</v>
      </c>
      <c r="C14" t="s">
        <v>6</v>
      </c>
    </row>
    <row r="15" spans="1:3" ht="12.75">
      <c r="A15" t="s">
        <v>7</v>
      </c>
      <c r="B15" s="2">
        <f>20*LOG(B13)+20*LOG(B14)+36.6</f>
        <v>118.1836249209525</v>
      </c>
      <c r="C15" t="s">
        <v>8</v>
      </c>
    </row>
    <row r="16" ht="12.75">
      <c r="B16" s="2"/>
    </row>
    <row r="17" ht="12.75">
      <c r="A17" s="1" t="s">
        <v>22</v>
      </c>
    </row>
    <row r="18" spans="1:5" ht="12.75">
      <c r="A18" t="s">
        <v>31</v>
      </c>
      <c r="B18">
        <v>5</v>
      </c>
      <c r="C18" t="s">
        <v>6</v>
      </c>
      <c r="D18" s="2">
        <f>B18*1.609344</f>
        <v>8.04672</v>
      </c>
      <c r="E18" t="s">
        <v>26</v>
      </c>
    </row>
    <row r="19" spans="1:3" ht="12.75">
      <c r="A19" t="s">
        <v>32</v>
      </c>
      <c r="B19">
        <v>2.412</v>
      </c>
      <c r="C19" t="s">
        <v>36</v>
      </c>
    </row>
    <row r="20" spans="1:5" ht="12.75">
      <c r="A20" t="s">
        <v>23</v>
      </c>
      <c r="B20" s="4">
        <f>43.3*SQRT(B18/(4*B19))</f>
        <v>31.171252356394078</v>
      </c>
      <c r="C20" t="s">
        <v>24</v>
      </c>
      <c r="D20" s="4">
        <f>B20*0.3048</f>
        <v>9.500997718228916</v>
      </c>
      <c r="E20" t="s">
        <v>25</v>
      </c>
    </row>
    <row r="21" spans="1:5" ht="12.75">
      <c r="A21" t="s">
        <v>47</v>
      </c>
      <c r="B21" s="4">
        <f>0.8*B20</f>
        <v>24.937001885115265</v>
      </c>
      <c r="C21" t="s">
        <v>24</v>
      </c>
      <c r="D21" s="4">
        <f>B21*0.3048</f>
        <v>7.600798174583133</v>
      </c>
      <c r="E21" t="s">
        <v>25</v>
      </c>
    </row>
    <row r="22" spans="2:4" ht="12.75">
      <c r="B22" s="2"/>
      <c r="D22" s="2"/>
    </row>
    <row r="23" ht="12.75">
      <c r="A23" s="1" t="s">
        <v>9</v>
      </c>
    </row>
    <row r="24" spans="1:7" ht="12.75">
      <c r="A24" t="s">
        <v>32</v>
      </c>
      <c r="B24">
        <v>2412</v>
      </c>
      <c r="C24" t="s">
        <v>5</v>
      </c>
      <c r="D24" t="s">
        <v>4</v>
      </c>
      <c r="F24" s="2">
        <f>20*LOG(B24)+20*LOG(B25)+36.6</f>
        <v>110.2681459826419</v>
      </c>
      <c r="G24" t="s">
        <v>8</v>
      </c>
    </row>
    <row r="25" spans="1:9" ht="12.75">
      <c r="A25" t="s">
        <v>31</v>
      </c>
      <c r="B25">
        <v>2</v>
      </c>
      <c r="C25" t="s">
        <v>6</v>
      </c>
      <c r="D25" t="s">
        <v>28</v>
      </c>
      <c r="F25" s="4">
        <f>43.3*SQRT(B25/(4*B24/1000))</f>
        <v>19.71443099321919</v>
      </c>
      <c r="G25" t="s">
        <v>24</v>
      </c>
      <c r="H25" s="4">
        <f>F25*0.3048</f>
        <v>6.008958566733209</v>
      </c>
      <c r="I25" t="s">
        <v>25</v>
      </c>
    </row>
    <row r="26" spans="1:9" ht="12.75">
      <c r="A26" t="s">
        <v>10</v>
      </c>
      <c r="B26">
        <v>20</v>
      </c>
      <c r="C26" t="s">
        <v>1</v>
      </c>
      <c r="D26" t="s">
        <v>48</v>
      </c>
      <c r="F26" s="4">
        <f>0.8*F25</f>
        <v>15.771544794575352</v>
      </c>
      <c r="G26" t="s">
        <v>24</v>
      </c>
      <c r="H26" s="4">
        <f>0.8*H25</f>
        <v>4.807166853386567</v>
      </c>
      <c r="I26" t="s">
        <v>25</v>
      </c>
    </row>
    <row r="27" spans="1:6" ht="12.75">
      <c r="A27" t="s">
        <v>11</v>
      </c>
      <c r="B27">
        <v>3</v>
      </c>
      <c r="C27" t="s">
        <v>8</v>
      </c>
      <c r="D27" t="s">
        <v>37</v>
      </c>
      <c r="F27" s="2"/>
    </row>
    <row r="28" spans="1:6" ht="12.75">
      <c r="A28" t="s">
        <v>12</v>
      </c>
      <c r="B28">
        <v>12</v>
      </c>
      <c r="C28" t="s">
        <v>8</v>
      </c>
      <c r="D28" t="s">
        <v>33</v>
      </c>
      <c r="F28" s="2"/>
    </row>
    <row r="29" spans="1:6" ht="12.75">
      <c r="A29" t="s">
        <v>13</v>
      </c>
      <c r="B29">
        <v>17</v>
      </c>
      <c r="C29" t="s">
        <v>8</v>
      </c>
      <c r="F29" s="2"/>
    </row>
    <row r="30" spans="1:7" ht="12.75">
      <c r="A30" t="s">
        <v>14</v>
      </c>
      <c r="B30">
        <v>3</v>
      </c>
      <c r="C30" t="s">
        <v>16</v>
      </c>
      <c r="D30" t="s">
        <v>9</v>
      </c>
      <c r="F30" s="2">
        <f>B26-B27+B28-F24+B29-B30</f>
        <v>-67.2681459826419</v>
      </c>
      <c r="G30" t="s">
        <v>1</v>
      </c>
    </row>
    <row r="31" spans="1:7" ht="12.75">
      <c r="A31" t="s">
        <v>15</v>
      </c>
      <c r="B31">
        <v>-82</v>
      </c>
      <c r="C31" t="s">
        <v>1</v>
      </c>
      <c r="D31" t="s">
        <v>17</v>
      </c>
      <c r="F31" s="2">
        <f>F30-B31</f>
        <v>14.731854017358103</v>
      </c>
      <c r="G31" t="s">
        <v>8</v>
      </c>
    </row>
    <row r="33" ht="12.75">
      <c r="A33" s="1" t="s">
        <v>18</v>
      </c>
    </row>
    <row r="34" spans="1:7" ht="12.75">
      <c r="A34" t="s">
        <v>19</v>
      </c>
      <c r="B34">
        <v>80</v>
      </c>
      <c r="C34" t="s">
        <v>35</v>
      </c>
      <c r="F34">
        <f>B34*0.3048</f>
        <v>24.384</v>
      </c>
      <c r="G34" t="s">
        <v>25</v>
      </c>
    </row>
    <row r="35" spans="1:7" ht="12.75">
      <c r="A35" t="s">
        <v>20</v>
      </c>
      <c r="B35">
        <v>30</v>
      </c>
      <c r="C35" t="s">
        <v>35</v>
      </c>
      <c r="F35">
        <f>B35*0.3048</f>
        <v>9.144</v>
      </c>
      <c r="G35" t="s">
        <v>25</v>
      </c>
    </row>
    <row r="36" spans="1:7" ht="12.75">
      <c r="A36" t="s">
        <v>31</v>
      </c>
      <c r="B36">
        <v>3</v>
      </c>
      <c r="C36" t="s">
        <v>6</v>
      </c>
      <c r="E36" t="s">
        <v>21</v>
      </c>
      <c r="F36" s="3">
        <f>DEGREES(ATAN((B34-B35)/(B36*5280)))</f>
        <v>0.18085728919702862</v>
      </c>
      <c r="G36" t="s">
        <v>34</v>
      </c>
    </row>
    <row r="37" spans="1:9" ht="12.75">
      <c r="A37" t="s">
        <v>21</v>
      </c>
      <c r="B37">
        <v>0.1</v>
      </c>
      <c r="C37" t="s">
        <v>34</v>
      </c>
      <c r="E37" t="s">
        <v>31</v>
      </c>
      <c r="F37" s="2">
        <f>((B34-B35)/TAN(RADIANS(B37)))/5260</f>
        <v>5.446361343671937</v>
      </c>
      <c r="G37" t="s">
        <v>6</v>
      </c>
      <c r="H37">
        <f>F37*1.609344</f>
        <v>8.76506895027037</v>
      </c>
      <c r="I37" t="s">
        <v>26</v>
      </c>
    </row>
    <row r="39" ht="12.75">
      <c r="A39" s="1" t="s">
        <v>38</v>
      </c>
    </row>
    <row r="40" spans="1:5" ht="12.75">
      <c r="A40" t="s">
        <v>39</v>
      </c>
      <c r="B40">
        <v>80</v>
      </c>
      <c r="C40" t="s">
        <v>40</v>
      </c>
      <c r="D40">
        <f>B40*0.3048</f>
        <v>24.384</v>
      </c>
      <c r="E40" t="s">
        <v>41</v>
      </c>
    </row>
    <row r="41" spans="1:3" ht="12.75">
      <c r="A41" t="s">
        <v>18</v>
      </c>
      <c r="B41">
        <v>5.2</v>
      </c>
      <c r="C41" t="s">
        <v>46</v>
      </c>
    </row>
    <row r="42" spans="1:3" ht="12.75">
      <c r="A42" t="s">
        <v>42</v>
      </c>
      <c r="B42">
        <v>10</v>
      </c>
      <c r="C42" t="s">
        <v>46</v>
      </c>
    </row>
    <row r="43" spans="1:5" ht="12.75">
      <c r="A43" t="s">
        <v>43</v>
      </c>
      <c r="B43" s="4">
        <f>(B40/5280)/TAN(RADIANS(B41+B42/2))</f>
        <v>0.08420858081441111</v>
      </c>
      <c r="C43" t="s">
        <v>6</v>
      </c>
      <c r="D43" s="4">
        <f>B43*1.609344</f>
        <v>0.13552057428218764</v>
      </c>
      <c r="E43" t="s">
        <v>26</v>
      </c>
    </row>
    <row r="44" spans="1:5" ht="12.75">
      <c r="A44" t="s">
        <v>44</v>
      </c>
      <c r="B44" s="4">
        <f>(B40/5280)/TAN(RADIANS(B41-B42/2))</f>
        <v>4.340571727448963</v>
      </c>
      <c r="C44" t="s">
        <v>6</v>
      </c>
      <c r="D44" s="4">
        <f>B44*1.609344</f>
        <v>6.985473066139624</v>
      </c>
      <c r="E44" t="s">
        <v>26</v>
      </c>
    </row>
    <row r="45" spans="1:5" ht="12.75">
      <c r="A45" t="s">
        <v>45</v>
      </c>
      <c r="B45" s="4">
        <f>B44-B43</f>
        <v>4.256363146634552</v>
      </c>
      <c r="C45" t="s">
        <v>6</v>
      </c>
      <c r="D45" s="4">
        <f>B45*1.609344</f>
        <v>6.849952491857437</v>
      </c>
      <c r="E45" t="s">
        <v>26</v>
      </c>
    </row>
    <row r="47" ht="12.75">
      <c r="A47" s="1" t="s">
        <v>50</v>
      </c>
    </row>
    <row r="48" spans="1:5" ht="12.75">
      <c r="A48" t="s">
        <v>51</v>
      </c>
      <c r="B48">
        <v>0.5</v>
      </c>
      <c r="C48" t="s">
        <v>25</v>
      </c>
      <c r="D48" s="5">
        <f>25+40*LOG(2.8*B48)</f>
        <v>30.84512142712952</v>
      </c>
      <c r="E48" t="s">
        <v>8</v>
      </c>
    </row>
    <row r="49" spans="1:5" ht="12.75">
      <c r="A49" t="s">
        <v>52</v>
      </c>
      <c r="B49">
        <v>2</v>
      </c>
      <c r="C49" t="s">
        <v>25</v>
      </c>
      <c r="D49" s="5">
        <f>22+20*LOG(2.8*B49)</f>
        <v>36.96376054012401</v>
      </c>
      <c r="E49" t="s">
        <v>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1">
      <selection activeCell="G5" sqref="G5"/>
    </sheetView>
  </sheetViews>
  <sheetFormatPr defaultColWidth="9.140625" defaultRowHeight="12.75"/>
  <cols>
    <col min="1" max="1" width="2.28125" style="0" customWidth="1"/>
    <col min="2" max="2" width="20.8515625" style="0" customWidth="1"/>
    <col min="4" max="4" width="2.421875" style="0" customWidth="1"/>
    <col min="6" max="6" width="2.421875" style="0" customWidth="1"/>
    <col min="8" max="8" width="3.421875" style="0" customWidth="1"/>
    <col min="9" max="9" width="9.421875" style="0" customWidth="1"/>
    <col min="10" max="10" width="17.8515625" style="0" customWidth="1"/>
    <col min="11" max="11" width="3.57421875" style="0" customWidth="1"/>
    <col min="12" max="12" width="3.140625" style="0" customWidth="1"/>
    <col min="13" max="13" width="3.28125" style="0" customWidth="1"/>
    <col min="14" max="14" width="3.421875" style="0" customWidth="1"/>
    <col min="15" max="15" width="2.8515625" style="0" customWidth="1"/>
    <col min="16" max="16" width="3.140625" style="0" customWidth="1"/>
  </cols>
  <sheetData>
    <row r="1" spans="1:17" ht="18.75" thickBot="1">
      <c r="A1" s="6"/>
      <c r="B1" s="6"/>
      <c r="C1" s="6"/>
      <c r="D1" s="6"/>
      <c r="E1" s="6"/>
      <c r="F1" s="6"/>
      <c r="G1" s="6"/>
      <c r="H1" s="6"/>
      <c r="I1" s="6"/>
      <c r="J1" s="7"/>
      <c r="K1" s="6"/>
      <c r="L1" s="6"/>
      <c r="M1" s="6"/>
      <c r="N1" s="6"/>
      <c r="O1" s="6"/>
      <c r="P1" s="6"/>
      <c r="Q1" s="6"/>
    </row>
    <row r="2" spans="1:17" ht="21" thickBot="1">
      <c r="A2" s="8"/>
      <c r="B2" s="62" t="s">
        <v>53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8"/>
    </row>
    <row r="3" spans="1:17" ht="18.75" thickBot="1">
      <c r="A3" s="6"/>
      <c r="B3" s="9" t="s">
        <v>54</v>
      </c>
      <c r="C3" s="65" t="s">
        <v>80</v>
      </c>
      <c r="D3" s="65"/>
      <c r="E3" s="65"/>
      <c r="F3" s="65"/>
      <c r="G3" s="65"/>
      <c r="H3" s="65"/>
      <c r="I3" s="65"/>
      <c r="J3" s="10"/>
      <c r="K3" s="11"/>
      <c r="L3" s="6"/>
      <c r="M3" s="6"/>
      <c r="N3" s="6"/>
      <c r="O3" s="6"/>
      <c r="P3" s="6"/>
      <c r="Q3" s="6"/>
    </row>
    <row r="4" spans="1:17" ht="21">
      <c r="A4" s="6"/>
      <c r="B4" s="12" t="s">
        <v>55</v>
      </c>
      <c r="C4" s="13">
        <v>6</v>
      </c>
      <c r="D4" s="14" t="s">
        <v>56</v>
      </c>
      <c r="E4" s="15">
        <v>10</v>
      </c>
      <c r="F4" s="16" t="s">
        <v>57</v>
      </c>
      <c r="G4" s="17">
        <v>6.9</v>
      </c>
      <c r="H4" s="16" t="s">
        <v>58</v>
      </c>
      <c r="I4" s="15" t="s">
        <v>59</v>
      </c>
      <c r="J4" s="18">
        <f>IF(OR(I4="S",I4="s")=TRUE,-C4-E4/60-G4/3600,C4+E4/60+G4/3600)</f>
        <v>-6.168583333333333</v>
      </c>
      <c r="K4" s="66" t="str">
        <f>IF(I5="E",'[1]QTH-A'!J21,'[1]QTH-A'!J20)</f>
        <v>O</v>
      </c>
      <c r="L4" s="66" t="str">
        <f>IF(I4="S",'[1]QTH-A'!J8,'[1]QTH-A'!J9)</f>
        <v>I</v>
      </c>
      <c r="M4" s="68">
        <f>INT('[1]QTH-A'!J22)</f>
        <v>3</v>
      </c>
      <c r="N4" s="70">
        <f>INT('[1]QTH-A'!J10)</f>
        <v>3</v>
      </c>
      <c r="O4" s="66" t="str">
        <f>IF('[1]QTH-A'!J23="Odd",IF('[1]QTH-A'!J25="Sub1",'[1]QTH-A'!J28,'[1]QTH-A'!J29),IF('[1]QTH-A'!J25="Sub1",'[1]QTH-A'!J26,'[1]QTH-A'!J27))</f>
        <v>d</v>
      </c>
      <c r="P4" s="72" t="str">
        <f>IF(I4="N",IF('[1]QTH-A'!J12="Sub1",'[1]QTH-A'!J13,IF('[1]QTH-A'!J12="Sub2",'[1]QTH-A'!J14,'[1]QTH-A'!J15)),IF('[1]QTH-A'!J12="Sub1",'[1]QTH-A'!J16,IF('[1]QTH-A'!J12="Sub2",'[1]QTH-A'!J17,'[1]QTH-A'!J18)))</f>
        <v>c</v>
      </c>
      <c r="Q4" s="6"/>
    </row>
    <row r="5" spans="1:17" ht="21.75" thickBot="1">
      <c r="A5" s="6"/>
      <c r="B5" s="19" t="s">
        <v>60</v>
      </c>
      <c r="C5" s="20">
        <v>106</v>
      </c>
      <c r="D5" s="21" t="s">
        <v>56</v>
      </c>
      <c r="E5" s="22">
        <v>51</v>
      </c>
      <c r="F5" s="23" t="s">
        <v>57</v>
      </c>
      <c r="G5" s="24">
        <v>54.2</v>
      </c>
      <c r="H5" s="23" t="s">
        <v>58</v>
      </c>
      <c r="I5" s="22" t="s">
        <v>61</v>
      </c>
      <c r="J5" s="25">
        <f>IF(OR(I5="E",I5="e")=TRUE,-C5-E5/60-G5/3600,C5+E5/60+G5/3600)</f>
        <v>-106.86505555555554</v>
      </c>
      <c r="K5" s="67"/>
      <c r="L5" s="67"/>
      <c r="M5" s="69"/>
      <c r="N5" s="71"/>
      <c r="O5" s="67"/>
      <c r="P5" s="73"/>
      <c r="Q5" s="6"/>
    </row>
    <row r="6" spans="1:17" ht="18.75" thickBot="1">
      <c r="A6" s="6"/>
      <c r="B6" s="26" t="s">
        <v>62</v>
      </c>
      <c r="C6" s="65"/>
      <c r="D6" s="65"/>
      <c r="E6" s="65"/>
      <c r="F6" s="65"/>
      <c r="G6" s="65"/>
      <c r="H6" s="65"/>
      <c r="I6" s="65"/>
      <c r="J6" s="6"/>
      <c r="K6" s="6"/>
      <c r="L6" s="11"/>
      <c r="M6" s="6"/>
      <c r="N6" s="6"/>
      <c r="O6" s="6"/>
      <c r="P6" s="6"/>
      <c r="Q6" s="6"/>
    </row>
    <row r="7" spans="1:17" ht="21">
      <c r="A7" s="6"/>
      <c r="B7" s="12" t="s">
        <v>63</v>
      </c>
      <c r="C7" s="13">
        <v>6</v>
      </c>
      <c r="D7" s="14" t="s">
        <v>56</v>
      </c>
      <c r="E7" s="15">
        <v>9</v>
      </c>
      <c r="F7" s="16" t="s">
        <v>57</v>
      </c>
      <c r="G7" s="17">
        <v>0.8</v>
      </c>
      <c r="H7" s="16" t="s">
        <v>58</v>
      </c>
      <c r="I7" s="27" t="s">
        <v>59</v>
      </c>
      <c r="J7" s="18">
        <f>IF(OR(I7="S",I7="s")=TRUE,-C7-E7/60-G7/3600,C7+E7/60+G7/3600)</f>
        <v>-6.150222222222222</v>
      </c>
      <c r="K7" s="74" t="str">
        <f>IF(I8="E",'[1]QTH-B'!J21,'[1]QTH-B'!J20)</f>
        <v>O</v>
      </c>
      <c r="L7" s="66" t="str">
        <f>IF(I7="S",'[1]QTH-B'!J8,'[1]QTH-B'!J9)</f>
        <v>I</v>
      </c>
      <c r="M7" s="68">
        <f>INT('[1]QTH-B'!J22)</f>
        <v>3</v>
      </c>
      <c r="N7" s="70">
        <f>INT('[1]QTH-B'!J10)</f>
        <v>3</v>
      </c>
      <c r="O7" s="66" t="str">
        <f>IF('[1]QTH-B'!J23="Odd",IF('[1]QTH-B'!J25="Sub1",'[1]QTH-B'!J28,'[1]QTH-B'!J29),IF('[1]QTH-B'!J25="Sub1",'[1]QTH-B'!J26,'[1]QTH-B'!J27))</f>
        <v>e</v>
      </c>
      <c r="P7" s="72" t="str">
        <f>IF(I7="N",IF('[1]QTH-B'!J12="Sub1",'[1]QTH-B'!J13,IF('[1]QTH-B'!J12="Sub2",'[1]QTH-B'!J14,'[1]QTH-B'!J15)),IF('[1]QTH-B'!J12="Sub1",'[1]QTH-B'!J16,IF('[1]QTH-B'!J12="Sub2",'[1]QTH-B'!J17,'[1]QTH-B'!J18)))</f>
        <v>b</v>
      </c>
      <c r="Q7" s="6"/>
    </row>
    <row r="8" spans="1:17" ht="21.75" thickBot="1">
      <c r="A8" s="6"/>
      <c r="B8" s="19" t="s">
        <v>64</v>
      </c>
      <c r="C8" s="20">
        <v>106</v>
      </c>
      <c r="D8" s="21" t="s">
        <v>56</v>
      </c>
      <c r="E8" s="22">
        <v>53</v>
      </c>
      <c r="F8" s="23" t="s">
        <v>57</v>
      </c>
      <c r="G8" s="24">
        <v>14.8</v>
      </c>
      <c r="H8" s="23" t="s">
        <v>58</v>
      </c>
      <c r="I8" s="28" t="s">
        <v>61</v>
      </c>
      <c r="J8" s="25">
        <f>IF(OR(I8="E",I8="e")=TRUE,-C8-E8/60-G8/3600,C8+E8/60+G8/3600)</f>
        <v>-106.88744444444445</v>
      </c>
      <c r="K8" s="75"/>
      <c r="L8" s="67"/>
      <c r="M8" s="69"/>
      <c r="N8" s="71"/>
      <c r="O8" s="67"/>
      <c r="P8" s="73"/>
      <c r="Q8" s="6"/>
    </row>
    <row r="9" spans="1:17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0.75" customHeight="1" thickBot="1">
      <c r="A10" s="6"/>
      <c r="B10" s="29" t="s">
        <v>55</v>
      </c>
      <c r="C10" s="30"/>
      <c r="D10" s="31"/>
      <c r="E10" s="30"/>
      <c r="F10" s="32"/>
      <c r="G10" s="33"/>
      <c r="H10" s="32"/>
      <c r="I10" s="30"/>
      <c r="J10" s="34">
        <f>IF(I4="S",-(C4+E4/60+G4/3600),C4+E4/60+G4/3600)</f>
        <v>-6.168583333333333</v>
      </c>
      <c r="K10" s="35" t="s">
        <v>56</v>
      </c>
      <c r="L10" s="6"/>
      <c r="M10" s="6"/>
      <c r="N10" s="6"/>
      <c r="O10" s="6"/>
      <c r="P10" s="6"/>
      <c r="Q10" s="6"/>
    </row>
    <row r="11" spans="1:17" ht="21.75" hidden="1" thickBot="1">
      <c r="A11" s="6"/>
      <c r="B11" s="29" t="s">
        <v>60</v>
      </c>
      <c r="C11" s="30"/>
      <c r="D11" s="31"/>
      <c r="E11" s="30"/>
      <c r="F11" s="32"/>
      <c r="G11" s="33"/>
      <c r="H11" s="32"/>
      <c r="I11" s="30"/>
      <c r="J11" s="34">
        <f>IF(I5="E",-(C5+E5/60+G5/3600),C5+E5/60+G5/3600)</f>
        <v>-106.86505555555554</v>
      </c>
      <c r="K11" s="35" t="s">
        <v>56</v>
      </c>
      <c r="L11" s="6"/>
      <c r="M11" s="6"/>
      <c r="N11" s="6"/>
      <c r="O11" s="6"/>
      <c r="P11" s="6"/>
      <c r="Q11" s="6"/>
    </row>
    <row r="12" spans="1:17" ht="21.75" hidden="1" thickBot="1">
      <c r="A12" s="6"/>
      <c r="B12" s="29" t="s">
        <v>63</v>
      </c>
      <c r="C12" s="30"/>
      <c r="D12" s="31"/>
      <c r="E12" s="30"/>
      <c r="F12" s="32"/>
      <c r="G12" s="33"/>
      <c r="H12" s="32"/>
      <c r="I12" s="30"/>
      <c r="J12" s="34">
        <f>IF(I7="S",-(C7+E7/60+G7/3600),C7+E7/60+G7/3600)</f>
        <v>-6.150222222222222</v>
      </c>
      <c r="K12" s="35" t="s">
        <v>56</v>
      </c>
      <c r="L12" s="6"/>
      <c r="M12" s="6"/>
      <c r="N12" s="6"/>
      <c r="O12" s="6"/>
      <c r="P12" s="6"/>
      <c r="Q12" s="6"/>
    </row>
    <row r="13" spans="1:17" ht="21.75" hidden="1" thickBot="1">
      <c r="A13" s="6"/>
      <c r="B13" s="29" t="s">
        <v>64</v>
      </c>
      <c r="C13" s="30"/>
      <c r="D13" s="31"/>
      <c r="E13" s="30"/>
      <c r="F13" s="32"/>
      <c r="G13" s="33"/>
      <c r="H13" s="32"/>
      <c r="I13" s="30"/>
      <c r="J13" s="34">
        <f>IF(I8="E",-(C8+E8/60+G8/3600),C8+E8/60+G8/3600)</f>
        <v>-106.88744444444445</v>
      </c>
      <c r="K13" s="35" t="s">
        <v>56</v>
      </c>
      <c r="L13" s="6"/>
      <c r="M13" s="6"/>
      <c r="N13" s="6"/>
      <c r="O13" s="6"/>
      <c r="P13" s="6"/>
      <c r="Q13" s="6"/>
    </row>
    <row r="14" spans="1:17" ht="21" hidden="1">
      <c r="A14" s="6"/>
      <c r="B14" s="36" t="s">
        <v>65</v>
      </c>
      <c r="C14" s="36"/>
      <c r="D14" s="36"/>
      <c r="E14" s="36"/>
      <c r="F14" s="36"/>
      <c r="G14" s="36"/>
      <c r="H14" s="36"/>
      <c r="I14" s="36"/>
      <c r="J14" s="37">
        <f>J11-J13</f>
        <v>0.022388888888912106</v>
      </c>
      <c r="K14" s="35" t="s">
        <v>56</v>
      </c>
      <c r="L14" s="6"/>
      <c r="M14" s="6"/>
      <c r="N14" s="6"/>
      <c r="O14" s="6"/>
      <c r="P14" s="6"/>
      <c r="Q14" s="6"/>
    </row>
    <row r="15" spans="1:17" ht="13.5" customHeight="1" hidden="1">
      <c r="A15" s="6"/>
      <c r="B15" s="38" t="s">
        <v>66</v>
      </c>
      <c r="C15" s="39"/>
      <c r="D15" s="40"/>
      <c r="E15" s="40"/>
      <c r="F15" s="40"/>
      <c r="G15" s="40"/>
      <c r="H15" s="40"/>
      <c r="I15" s="40"/>
      <c r="J15" s="41">
        <f>COS(J14*PI()/180)</f>
        <v>0.9999999236533798</v>
      </c>
      <c r="K15" s="42"/>
      <c r="L15" s="6"/>
      <c r="M15" s="6"/>
      <c r="N15" s="6"/>
      <c r="O15" s="6"/>
      <c r="P15" s="6"/>
      <c r="Q15" s="6"/>
    </row>
    <row r="16" spans="1:17" ht="16.5" customHeight="1" hidden="1">
      <c r="A16" s="6"/>
      <c r="B16" s="38" t="s">
        <v>67</v>
      </c>
      <c r="C16" s="39"/>
      <c r="D16" s="40"/>
      <c r="E16" s="40"/>
      <c r="F16" s="40"/>
      <c r="G16" s="40"/>
      <c r="H16" s="40"/>
      <c r="I16" s="40"/>
      <c r="J16" s="41">
        <f>1/TAN(J12*PI()/180)</f>
        <v>-9.28024223191785</v>
      </c>
      <c r="K16" s="42"/>
      <c r="L16" s="6"/>
      <c r="M16" s="6"/>
      <c r="N16" s="6"/>
      <c r="O16" s="6"/>
      <c r="P16" s="6"/>
      <c r="Q16" s="6"/>
    </row>
    <row r="17" spans="1:17" ht="19.5" customHeight="1" hidden="1">
      <c r="A17" s="6"/>
      <c r="B17" s="38" t="s">
        <v>68</v>
      </c>
      <c r="C17" s="39"/>
      <c r="D17" s="40"/>
      <c r="E17" s="40"/>
      <c r="F17" s="40"/>
      <c r="G17" s="40"/>
      <c r="H17" s="40"/>
      <c r="I17" s="40"/>
      <c r="J17" s="41">
        <f>(180/PI())*ATAN(J15*J16)</f>
        <v>-83.8497773118276</v>
      </c>
      <c r="K17" s="43" t="s">
        <v>56</v>
      </c>
      <c r="L17" s="6"/>
      <c r="M17" s="6"/>
      <c r="N17" s="6"/>
      <c r="O17" s="6"/>
      <c r="P17" s="6"/>
      <c r="Q17" s="6"/>
    </row>
    <row r="18" spans="1:17" ht="15.75" customHeight="1" hidden="1">
      <c r="A18" s="6"/>
      <c r="B18" s="38" t="s">
        <v>69</v>
      </c>
      <c r="C18" s="39"/>
      <c r="D18" s="40"/>
      <c r="E18" s="40"/>
      <c r="F18" s="40"/>
      <c r="G18" s="40"/>
      <c r="H18" s="40"/>
      <c r="I18" s="40"/>
      <c r="J18" s="41">
        <f>1/(TAN(J14*PI()/180))</f>
        <v>2559.116572561642</v>
      </c>
      <c r="K18" s="42"/>
      <c r="L18" s="6"/>
      <c r="M18" s="6"/>
      <c r="N18" s="6"/>
      <c r="O18" s="6"/>
      <c r="P18" s="6"/>
      <c r="Q18" s="6"/>
    </row>
    <row r="19" spans="1:17" ht="17.25" customHeight="1" hidden="1">
      <c r="A19" s="6"/>
      <c r="B19" s="38" t="s">
        <v>70</v>
      </c>
      <c r="C19" s="39"/>
      <c r="D19" s="40"/>
      <c r="E19" s="40"/>
      <c r="F19" s="40"/>
      <c r="G19" s="40"/>
      <c r="H19" s="40"/>
      <c r="I19" s="40"/>
      <c r="J19" s="41">
        <f>COS((J10+J17)*PI()/180)</f>
        <v>-0.00032045370536388753</v>
      </c>
      <c r="K19" s="42"/>
      <c r="L19" s="6"/>
      <c r="M19" s="6"/>
      <c r="N19" s="6"/>
      <c r="O19" s="6"/>
      <c r="P19" s="6"/>
      <c r="Q19" s="6"/>
    </row>
    <row r="20" spans="1:17" ht="18" hidden="1">
      <c r="A20" s="6"/>
      <c r="B20" s="38" t="s">
        <v>71</v>
      </c>
      <c r="C20" s="39"/>
      <c r="D20" s="40"/>
      <c r="E20" s="40"/>
      <c r="F20" s="40"/>
      <c r="G20" s="40"/>
      <c r="H20" s="40"/>
      <c r="I20" s="40"/>
      <c r="J20" s="41">
        <f>SIN(J17*PI()/180)</f>
        <v>-0.99424441624284</v>
      </c>
      <c r="K20" s="42"/>
      <c r="L20" s="6"/>
      <c r="M20" s="6"/>
      <c r="N20" s="6"/>
      <c r="O20" s="6"/>
      <c r="P20" s="6"/>
      <c r="Q20" s="6"/>
    </row>
    <row r="21" spans="1:17" ht="18" hidden="1">
      <c r="A21" s="6"/>
      <c r="B21" s="38" t="s">
        <v>72</v>
      </c>
      <c r="C21" s="39"/>
      <c r="D21" s="40"/>
      <c r="E21" s="40"/>
      <c r="F21" s="40"/>
      <c r="G21" s="40"/>
      <c r="H21" s="40"/>
      <c r="I21" s="40"/>
      <c r="J21" s="41">
        <f>J18*J19/J20</f>
        <v>0.8248257417773714</v>
      </c>
      <c r="K21" s="42"/>
      <c r="L21" s="6"/>
      <c r="M21" s="6"/>
      <c r="N21" s="6"/>
      <c r="O21" s="6"/>
      <c r="P21" s="6"/>
      <c r="Q21" s="6"/>
    </row>
    <row r="22" spans="1:17" ht="18" hidden="1">
      <c r="A22" s="6"/>
      <c r="B22" s="38" t="s">
        <v>73</v>
      </c>
      <c r="C22" s="39"/>
      <c r="D22" s="40"/>
      <c r="E22" s="40"/>
      <c r="F22" s="40"/>
      <c r="G22" s="40"/>
      <c r="H22" s="40"/>
      <c r="I22" s="40"/>
      <c r="J22" s="41">
        <f>1/J21</f>
        <v>1.212377292984522</v>
      </c>
      <c r="K22" s="42"/>
      <c r="L22" s="6"/>
      <c r="M22" s="6"/>
      <c r="N22" s="6"/>
      <c r="O22" s="6"/>
      <c r="P22" s="6"/>
      <c r="Q22" s="6"/>
    </row>
    <row r="23" spans="1:17" ht="21" hidden="1">
      <c r="A23" s="6"/>
      <c r="B23" s="38" t="s">
        <v>74</v>
      </c>
      <c r="C23" s="39"/>
      <c r="D23" s="40"/>
      <c r="E23" s="40"/>
      <c r="F23" s="40"/>
      <c r="G23" s="40"/>
      <c r="H23" s="40"/>
      <c r="I23" s="40"/>
      <c r="J23" s="44">
        <f>(180/PI())*ATAN(J22)</f>
        <v>50.483310039238454</v>
      </c>
      <c r="K23" s="43" t="s">
        <v>56</v>
      </c>
      <c r="L23" s="6"/>
      <c r="M23" s="6"/>
      <c r="N23" s="6"/>
      <c r="O23" s="6"/>
      <c r="P23" s="6"/>
      <c r="Q23" s="6"/>
    </row>
    <row r="24" spans="1:17" ht="21.75" hidden="1" thickBot="1">
      <c r="A24" s="6"/>
      <c r="B24" s="11"/>
      <c r="C24" s="11"/>
      <c r="D24" s="11"/>
      <c r="E24" s="11"/>
      <c r="F24" s="11"/>
      <c r="G24" s="11"/>
      <c r="H24" s="11"/>
      <c r="I24" s="11"/>
      <c r="J24" s="45"/>
      <c r="K24" s="46"/>
      <c r="L24" s="6"/>
      <c r="M24" s="6"/>
      <c r="N24" s="6"/>
      <c r="O24" s="6"/>
      <c r="P24" s="6"/>
      <c r="Q24" s="6"/>
    </row>
    <row r="25" spans="1:17" ht="21">
      <c r="A25" s="6"/>
      <c r="B25" s="81" t="s">
        <v>75</v>
      </c>
      <c r="C25" s="83">
        <f>IF(J18&gt;0,IF(J23&gt;0,J23,J23+180),IF(J23&gt;0,J23+180,J23+360))</f>
        <v>50.483310039238454</v>
      </c>
      <c r="D25" s="84"/>
      <c r="E25" s="84"/>
      <c r="F25" s="84"/>
      <c r="G25" s="84"/>
      <c r="H25" s="47" t="s">
        <v>56</v>
      </c>
      <c r="I25" s="48" t="s">
        <v>76</v>
      </c>
      <c r="J25" s="6"/>
      <c r="K25" s="49"/>
      <c r="L25" s="6"/>
      <c r="M25" s="6"/>
      <c r="N25" s="6"/>
      <c r="O25" s="6"/>
      <c r="P25" s="6"/>
      <c r="Q25" s="6"/>
    </row>
    <row r="26" spans="1:17" ht="21">
      <c r="A26" s="6"/>
      <c r="B26" s="82"/>
      <c r="C26" s="50"/>
      <c r="D26" s="51"/>
      <c r="E26" s="51"/>
      <c r="F26" s="51"/>
      <c r="G26" s="52">
        <f>360-C25</f>
        <v>309.51668996076154</v>
      </c>
      <c r="H26" s="53" t="s">
        <v>56</v>
      </c>
      <c r="I26" s="54" t="s">
        <v>77</v>
      </c>
      <c r="J26" s="6"/>
      <c r="K26" s="49"/>
      <c r="L26" s="6"/>
      <c r="M26" s="6"/>
      <c r="N26" s="6"/>
      <c r="O26" s="6"/>
      <c r="P26" s="6"/>
      <c r="Q26" s="6"/>
    </row>
    <row r="27" spans="1:17" ht="18" hidden="1">
      <c r="A27" s="6"/>
      <c r="B27" s="55" t="s">
        <v>78</v>
      </c>
      <c r="C27" s="56"/>
      <c r="D27" s="57"/>
      <c r="E27" s="57"/>
      <c r="F27" s="57"/>
      <c r="G27" s="58">
        <f>SIN(J10*PI()/180)*SIN(J12*PI()/180)+COS(J10*PI()/180)*COS(J12*PI()/180)*J15</f>
        <v>0.9999998731844033</v>
      </c>
      <c r="H27" s="59"/>
      <c r="I27" s="60"/>
      <c r="J27" s="6"/>
      <c r="K27" s="6"/>
      <c r="L27" s="6"/>
      <c r="M27" s="6"/>
      <c r="N27" s="6"/>
      <c r="O27" s="6"/>
      <c r="P27" s="6"/>
      <c r="Q27" s="6"/>
    </row>
    <row r="28" spans="1:17" ht="18.75" thickBot="1">
      <c r="A28" s="6"/>
      <c r="B28" s="61" t="s">
        <v>31</v>
      </c>
      <c r="C28" s="76">
        <f>(180/PI())*ACOS(G27)*60*1.852</f>
        <v>3.206388943575579</v>
      </c>
      <c r="D28" s="77"/>
      <c r="E28" s="77"/>
      <c r="F28" s="77"/>
      <c r="G28" s="77"/>
      <c r="H28" s="78" t="s">
        <v>26</v>
      </c>
      <c r="I28" s="79"/>
      <c r="J28" s="6"/>
      <c r="K28" s="6"/>
      <c r="L28" s="6"/>
      <c r="M28" s="6"/>
      <c r="N28" s="6"/>
      <c r="O28" s="6"/>
      <c r="P28" s="6"/>
      <c r="Q28" s="6"/>
    </row>
    <row r="29" spans="1:17" ht="18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8">
      <c r="A30" s="6"/>
      <c r="B30" s="80" t="s">
        <v>79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6"/>
    </row>
    <row r="31" spans="1:17" ht="18">
      <c r="A31" s="6"/>
      <c r="B31" s="6"/>
      <c r="C31" s="6"/>
      <c r="D31" s="6"/>
      <c r="E31" s="6"/>
      <c r="F31" s="6"/>
      <c r="G31" s="6"/>
      <c r="H31" s="6"/>
      <c r="I31" s="6"/>
      <c r="J31" s="7"/>
      <c r="K31" s="6"/>
      <c r="L31" s="6"/>
      <c r="M31" s="6"/>
      <c r="N31" s="6"/>
      <c r="O31" s="6"/>
      <c r="P31" s="6"/>
      <c r="Q31" s="6"/>
    </row>
    <row r="32" spans="1:17" ht="18">
      <c r="A32" s="6"/>
      <c r="B32" s="6"/>
      <c r="C32" s="6"/>
      <c r="D32" s="6"/>
      <c r="E32" s="6"/>
      <c r="F32" s="6"/>
      <c r="G32" s="6"/>
      <c r="H32" s="6"/>
      <c r="I32" s="6"/>
      <c r="J32" s="7"/>
      <c r="K32" s="6"/>
      <c r="L32" s="6"/>
      <c r="M32" s="6"/>
      <c r="N32" s="6"/>
      <c r="O32" s="6"/>
      <c r="P32" s="6"/>
      <c r="Q32" s="6"/>
    </row>
  </sheetData>
  <mergeCells count="20">
    <mergeCell ref="C28:G28"/>
    <mergeCell ref="H28:I28"/>
    <mergeCell ref="B30:P30"/>
    <mergeCell ref="N7:N8"/>
    <mergeCell ref="O7:O8"/>
    <mergeCell ref="P7:P8"/>
    <mergeCell ref="B25:B26"/>
    <mergeCell ref="C25:G25"/>
    <mergeCell ref="C6:I6"/>
    <mergeCell ref="K7:K8"/>
    <mergeCell ref="L7:L8"/>
    <mergeCell ref="M7:M8"/>
    <mergeCell ref="B2:P2"/>
    <mergeCell ref="C3:I3"/>
    <mergeCell ref="K4:K5"/>
    <mergeCell ref="L4:L5"/>
    <mergeCell ref="M4:M5"/>
    <mergeCell ref="N4:N5"/>
    <mergeCell ref="O4:O5"/>
    <mergeCell ref="P4:P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swadaya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Nurlina N. Purbo</dc:creator>
  <cp:keywords/>
  <dc:description/>
  <cp:lastModifiedBy>Onno W. Purbo</cp:lastModifiedBy>
  <dcterms:created xsi:type="dcterms:W3CDTF">2001-01-31T01:32:52Z</dcterms:created>
  <dcterms:modified xsi:type="dcterms:W3CDTF">2004-11-19T10:49:34Z</dcterms:modified>
  <cp:category/>
  <cp:version/>
  <cp:contentType/>
  <cp:contentStatus/>
</cp:coreProperties>
</file>