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530" windowWidth="10950" windowHeight="8040" activeTab="0"/>
  </bookViews>
  <sheets>
    <sheet name="Summary" sheetId="1" r:id="rId1"/>
    <sheet name="Jun.High School" sheetId="2" r:id="rId2"/>
    <sheet name="Sen.High School" sheetId="3" r:id="rId3"/>
    <sheet name="Vocational Senior School" sheetId="4" r:id="rId4"/>
  </sheets>
  <definedNames/>
  <calcPr fullCalcOnLoad="1"/>
</workbook>
</file>

<file path=xl/sharedStrings.xml><?xml version="1.0" encoding="utf-8"?>
<sst xmlns="http://schemas.openxmlformats.org/spreadsheetml/2006/main" count="778" uniqueCount="485">
  <si>
    <t>SMU02/03</t>
  </si>
  <si>
    <t>GAMBARAN UMUM KEADAAN SMU TIAP PROVINSI</t>
  </si>
  <si>
    <t>OVERVIEW OF GENERAL SENIOR SECONDARY SCHOOL (GSSS) BY PROVINCE</t>
  </si>
  <si>
    <t> No. </t>
  </si>
  <si>
    <t> P r o v i n s i </t>
  </si>
  <si>
    <t> Sekolah </t>
  </si>
  <si>
    <t> Pendaftar </t>
  </si>
  <si>
    <t> SB Tk. I </t>
  </si>
  <si>
    <t> S i s w a </t>
  </si>
  <si>
    <t> Mengulang </t>
  </si>
  <si>
    <t> Lulusan </t>
  </si>
  <si>
    <t> Pegawai </t>
  </si>
  <si>
    <t> P r o v i n c e </t>
  </si>
  <si>
    <t> Schools </t>
  </si>
  <si>
    <t> Applicants </t>
  </si>
  <si>
    <t> NE Gr. I </t>
  </si>
  <si>
    <t> Pupils </t>
  </si>
  <si>
    <t> Repeaters </t>
  </si>
  <si>
    <t> Graduates </t>
  </si>
  <si>
    <t> Non-TS </t>
  </si>
  <si>
    <t> 1 </t>
  </si>
  <si>
    <t> DKI Jakarta </t>
  </si>
  <si>
    <t>         68.788</t>
  </si>
  <si>
    <t>           4.227</t>
  </si>
  <si>
    <t> 2 </t>
  </si>
  <si>
    <t> Jawa Barat </t>
  </si>
  <si>
    <t>           1.019</t>
  </si>
  <si>
    <t>       117.874</t>
  </si>
  <si>
    <t>           5.879</t>
  </si>
  <si>
    <t> 3 </t>
  </si>
  <si>
    <t> Banten </t>
  </si>
  <si>
    <t>         24.076</t>
  </si>
  <si>
    <t>           1.228</t>
  </si>
  <si>
    <t> 4 </t>
  </si>
  <si>
    <t> Jawa Tengah </t>
  </si>
  <si>
    <t>       124.584</t>
  </si>
  <si>
    <t>           7.376</t>
  </si>
  <si>
    <t> 5 </t>
  </si>
  <si>
    <t> DI Yogyakarta </t>
  </si>
  <si>
    <t>         23.105</t>
  </si>
  <si>
    <t>           2.153</t>
  </si>
  <si>
    <t> 6 </t>
  </si>
  <si>
    <t> Jawa Timur </t>
  </si>
  <si>
    <t>       129.848</t>
  </si>
  <si>
    <t>           6.755</t>
  </si>
  <si>
    <t> 7 </t>
  </si>
  <si>
    <t> NA Darussalam </t>
  </si>
  <si>
    <t>         22.116</t>
  </si>
  <si>
    <t>           1.292</t>
  </si>
  <si>
    <t> 8 </t>
  </si>
  <si>
    <t> Sumatera Utara </t>
  </si>
  <si>
    <t>         81.502</t>
  </si>
  <si>
    <t>           2.399</t>
  </si>
  <si>
    <t> 9 </t>
  </si>
  <si>
    <t> Sumatera Barat </t>
  </si>
  <si>
    <t>         29.310</t>
  </si>
  <si>
    <t>           1.205</t>
  </si>
  <si>
    <t> 10 </t>
  </si>
  <si>
    <t> R i a u </t>
  </si>
  <si>
    <t>         23.208</t>
  </si>
  <si>
    <t>           1.062</t>
  </si>
  <si>
    <t> 11 </t>
  </si>
  <si>
    <t> J a m b i </t>
  </si>
  <si>
    <t>         11.689</t>
  </si>
  <si>
    <t>             614</t>
  </si>
  <si>
    <t> 12 </t>
  </si>
  <si>
    <t> Sumatera Selatan </t>
  </si>
  <si>
    <t>         34.917</t>
  </si>
  <si>
    <t>           1.418</t>
  </si>
  <si>
    <t> 13 </t>
  </si>
  <si>
    <t> Bangka Belitung </t>
  </si>
  <si>
    <t>           4.826</t>
  </si>
  <si>
    <t>             297</t>
  </si>
  <si>
    <t> 14 </t>
  </si>
  <si>
    <t> Bengkulu </t>
  </si>
  <si>
    <t>           9.888</t>
  </si>
  <si>
    <t>             409</t>
  </si>
  <si>
    <t> 15 </t>
  </si>
  <si>
    <t> Lampung </t>
  </si>
  <si>
    <t>         25.682</t>
  </si>
  <si>
    <t>             877</t>
  </si>
  <si>
    <t> 16 </t>
  </si>
  <si>
    <t> Kalimantan Barat </t>
  </si>
  <si>
    <t>         15.096</t>
  </si>
  <si>
    <t>             591</t>
  </si>
  <si>
    <t> 17 </t>
  </si>
  <si>
    <t> Kalimantan Tengah </t>
  </si>
  <si>
    <t>           7.881</t>
  </si>
  <si>
    <t>             285</t>
  </si>
  <si>
    <t> 18 </t>
  </si>
  <si>
    <t> Kalimantan Selatan </t>
  </si>
  <si>
    <t>         11.512</t>
  </si>
  <si>
    <t>             504</t>
  </si>
  <si>
    <t> 19 </t>
  </si>
  <si>
    <t> Kalimantan Timur </t>
  </si>
  <si>
    <t>             163</t>
  </si>
  <si>
    <t>         12.475</t>
  </si>
  <si>
    <t>             528</t>
  </si>
  <si>
    <t> 20 </t>
  </si>
  <si>
    <t> Sulawesi Utara </t>
  </si>
  <si>
    <t>         12.292</t>
  </si>
  <si>
    <t>             693</t>
  </si>
  <si>
    <t> 21 </t>
  </si>
  <si>
    <t> Gorontalo </t>
  </si>
  <si>
    <t>           2.878</t>
  </si>
  <si>
    <t>             156</t>
  </si>
  <si>
    <t> 22 </t>
  </si>
  <si>
    <t> Sulawesi Tengah </t>
  </si>
  <si>
    <t>           9.547</t>
  </si>
  <si>
    <t>             289</t>
  </si>
  <si>
    <t> 23 </t>
  </si>
  <si>
    <t> Sulawesi Selatan </t>
  </si>
  <si>
    <t>         42.035</t>
  </si>
  <si>
    <t>           1.949</t>
  </si>
  <si>
    <t> 24 </t>
  </si>
  <si>
    <t> Sulawesi Tenggara </t>
  </si>
  <si>
    <t>             410</t>
  </si>
  <si>
    <t> 25 </t>
  </si>
  <si>
    <t> M a l u k u </t>
  </si>
  <si>
    <t>         12.169</t>
  </si>
  <si>
    <t>             412</t>
  </si>
  <si>
    <t> 26 </t>
  </si>
  <si>
    <t> Maluku Utara </t>
  </si>
  <si>
    <t>           2.446</t>
  </si>
  <si>
    <t> 27 </t>
  </si>
  <si>
    <t> B a l i </t>
  </si>
  <si>
    <t>         20.153</t>
  </si>
  <si>
    <t>           1.304</t>
  </si>
  <si>
    <t> 28 </t>
  </si>
  <si>
    <t> Nusa Tenggara Barat </t>
  </si>
  <si>
    <t>         17.904</t>
  </si>
  <si>
    <t>             978</t>
  </si>
  <si>
    <t> 29 </t>
  </si>
  <si>
    <t> Nusa Tenggara Timur </t>
  </si>
  <si>
    <t>         15.981</t>
  </si>
  <si>
    <t>             630</t>
  </si>
  <si>
    <t> 30 </t>
  </si>
  <si>
    <t> Papua </t>
  </si>
  <si>
    <t>         10.436</t>
  </si>
  <si>
    <t>             450</t>
  </si>
  <si>
    <t> I n d o n e s i a </t>
  </si>
  <si>
    <r>
      <t>Catatan</t>
    </r>
    <r>
      <rPr>
        <b/>
        <sz val="10"/>
        <rFont val="Arial"/>
        <family val="2"/>
      </rPr>
      <t xml:space="preserve"> / </t>
    </r>
    <r>
      <rPr>
        <i/>
        <sz val="10"/>
        <rFont val="Arial"/>
        <family val="2"/>
      </rPr>
      <t>Notes</t>
    </r>
    <r>
      <rPr>
        <b/>
        <sz val="10"/>
        <rFont val="Arial"/>
        <family val="2"/>
      </rPr>
      <t>: </t>
    </r>
  </si>
  <si>
    <t> Hm. And Teachers </t>
  </si>
  <si>
    <t> Kelas </t>
  </si>
  <si>
    <t>  Ruang Kelas /  </t>
  </si>
  <si>
    <t> Classrooms </t>
  </si>
  <si>
    <t> Ks./Hm. </t>
  </si>
  <si>
    <t> Guru/Teachers </t>
  </si>
  <si>
    <t> Jml./Tot </t>
  </si>
  <si>
    <t> Classes </t>
  </si>
  <si>
    <t> Milik/Own. </t>
  </si>
  <si>
    <t> Bk.Mlk/Not Own. </t>
  </si>
  <si>
    <t> Jml./Tot. </t>
  </si>
  <si>
    <t>         15.155</t>
  </si>
  <si>
    <t>         15.640</t>
  </si>
  <si>
    <t>           5.537</t>
  </si>
  <si>
    <t>           5.098</t>
  </si>
  <si>
    <t>             332</t>
  </si>
  <si>
    <t>           5.430</t>
  </si>
  <si>
    <t>         26.793</t>
  </si>
  <si>
    <t>         27.702</t>
  </si>
  <si>
    <t>         10.405</t>
  </si>
  <si>
    <t>           9.620</t>
  </si>
  <si>
    <t>             118</t>
  </si>
  <si>
    <t>           9.738</t>
  </si>
  <si>
    <t>           5.094</t>
  </si>
  <si>
    <t>           5.281</t>
  </si>
  <si>
    <t>           2.144</t>
  </si>
  <si>
    <t>           1.898</t>
  </si>
  <si>
    <t>               17</t>
  </si>
  <si>
    <t>           1.915</t>
  </si>
  <si>
    <t>         26.590</t>
  </si>
  <si>
    <t>         27.425</t>
  </si>
  <si>
    <t>         10.240</t>
  </si>
  <si>
    <t>         10.246</t>
  </si>
  <si>
    <t>             122</t>
  </si>
  <si>
    <t>         10.368</t>
  </si>
  <si>
    <t>           5.634</t>
  </si>
  <si>
    <t>           5.827</t>
  </si>
  <si>
    <t>           1.977</t>
  </si>
  <si>
    <t>           2.150</t>
  </si>
  <si>
    <t>               35</t>
  </si>
  <si>
    <t>           2.185</t>
  </si>
  <si>
    <t>         31.236</t>
  </si>
  <si>
    <t>         32.272</t>
  </si>
  <si>
    <t>         11.109</t>
  </si>
  <si>
    <t>         10.448</t>
  </si>
  <si>
    <t>             422</t>
  </si>
  <si>
    <t>         10.870</t>
  </si>
  <si>
    <t>           6.686</t>
  </si>
  <si>
    <t>           6.902</t>
  </si>
  <si>
    <t>           2.128</t>
  </si>
  <si>
    <t>           2.107</t>
  </si>
  <si>
    <t>               12</t>
  </si>
  <si>
    <t>           2.119</t>
  </si>
  <si>
    <t>         16.366</t>
  </si>
  <si>
    <t>         17.063</t>
  </si>
  <si>
    <t>           6.625</t>
  </si>
  <si>
    <t>           6.669</t>
  </si>
  <si>
    <t>             238</t>
  </si>
  <si>
    <t>           6.907</t>
  </si>
  <si>
    <t>           7.458</t>
  </si>
  <si>
    <t>           7.654</t>
  </si>
  <si>
    <t>           2.687</t>
  </si>
  <si>
    <t>           2.353</t>
  </si>
  <si>
    <t>               72</t>
  </si>
  <si>
    <t>           2.425</t>
  </si>
  <si>
    <t>           5.911</t>
  </si>
  <si>
    <t>           6.118</t>
  </si>
  <si>
    <t>           2.284</t>
  </si>
  <si>
    <t>           2.138</t>
  </si>
  <si>
    <t>               27</t>
  </si>
  <si>
    <t>           2.165</t>
  </si>
  <si>
    <t>             132</t>
  </si>
  <si>
    <t>           3.049</t>
  </si>
  <si>
    <t>           3.181</t>
  </si>
  <si>
    <t>           1.145</t>
  </si>
  <si>
    <t>           1.047</t>
  </si>
  <si>
    <t>               22</t>
  </si>
  <si>
    <t>           1.069</t>
  </si>
  <si>
    <t>           7.652</t>
  </si>
  <si>
    <t>           7.943</t>
  </si>
  <si>
    <t>           3.018</t>
  </si>
  <si>
    <t>           3.013</t>
  </si>
  <si>
    <t>           3.145</t>
  </si>
  <si>
    <t>           1.176</t>
  </si>
  <si>
    <t>             451</t>
  </si>
  <si>
    <t>             442</t>
  </si>
  <si>
    <t>               85</t>
  </si>
  <si>
    <t>             527</t>
  </si>
  <si>
    <t>           2.227</t>
  </si>
  <si>
    <t>           2.308</t>
  </si>
  <si>
    <t>             878</t>
  </si>
  <si>
    <t>             841</t>
  </si>
  <si>
    <t>               19</t>
  </si>
  <si>
    <t>             860</t>
  </si>
  <si>
    <t>           7.759</t>
  </si>
  <si>
    <t>           8.050</t>
  </si>
  <si>
    <t>           2.552</t>
  </si>
  <si>
    <t>           2.364</t>
  </si>
  <si>
    <t>           2.381</t>
  </si>
  <si>
    <t>           3.517</t>
  </si>
  <si>
    <t>           3.720</t>
  </si>
  <si>
    <t>           1.354</t>
  </si>
  <si>
    <t>           1.237</t>
  </si>
  <si>
    <t>               30</t>
  </si>
  <si>
    <t>           1.267</t>
  </si>
  <si>
    <t>           2.169</t>
  </si>
  <si>
    <t>           2.268</t>
  </si>
  <si>
    <t>             802</t>
  </si>
  <si>
    <t>             765</t>
  </si>
  <si>
    <t>               26</t>
  </si>
  <si>
    <t>             791</t>
  </si>
  <si>
    <t>           3.384</t>
  </si>
  <si>
    <t>           3.492</t>
  </si>
  <si>
    <t>           1.184</t>
  </si>
  <si>
    <t>           1.181</t>
  </si>
  <si>
    <t>               11</t>
  </si>
  <si>
    <t>           1.192</t>
  </si>
  <si>
    <t>           3.560</t>
  </si>
  <si>
    <t>           3.723</t>
  </si>
  <si>
    <t>           1.197</t>
  </si>
  <si>
    <t>           1.160</t>
  </si>
  <si>
    <t>               14</t>
  </si>
  <si>
    <t>           1.174</t>
  </si>
  <si>
    <t>           3.066</t>
  </si>
  <si>
    <t>           3.233</t>
  </si>
  <si>
    <t>           1.392</t>
  </si>
  <si>
    <t>           1.326</t>
  </si>
  <si>
    <t>               44</t>
  </si>
  <si>
    <t>           1.370</t>
  </si>
  <si>
    <t>             792</t>
  </si>
  <si>
    <t>             816</t>
  </si>
  <si>
    <t>             274</t>
  </si>
  <si>
    <t>             263</t>
  </si>
  <si>
    <t>                 7</t>
  </si>
  <si>
    <t>             270</t>
  </si>
  <si>
    <t>           2.518</t>
  </si>
  <si>
    <t>           2.624</t>
  </si>
  <si>
    <t>             857</t>
  </si>
  <si>
    <t>             800</t>
  </si>
  <si>
    <t>                 3</t>
  </si>
  <si>
    <t>             803</t>
  </si>
  <si>
    <t>         10.510</t>
  </si>
  <si>
    <t>         10.808</t>
  </si>
  <si>
    <t>           3.689</t>
  </si>
  <si>
    <t>           3.504</t>
  </si>
  <si>
    <t>           3.636</t>
  </si>
  <si>
    <t>           2.671</t>
  </si>
  <si>
    <t>           2.774</t>
  </si>
  <si>
    <t>           1.010</t>
  </si>
  <si>
    <t>           1.012</t>
  </si>
  <si>
    <t>                 9</t>
  </si>
  <si>
    <t>           1.021</t>
  </si>
  <si>
    <t>           2.429</t>
  </si>
  <si>
    <t>           2.525</t>
  </si>
  <si>
    <t>             921</t>
  </si>
  <si>
    <t>               23</t>
  </si>
  <si>
    <t>             944</t>
  </si>
  <si>
    <t>           1.295</t>
  </si>
  <si>
    <t>           1.362</t>
  </si>
  <si>
    <t>             487</t>
  </si>
  <si>
    <t>             470</t>
  </si>
  <si>
    <t>                 6</t>
  </si>
  <si>
    <t>             476</t>
  </si>
  <si>
    <t>           5.991</t>
  </si>
  <si>
    <t>           6.150</t>
  </si>
  <si>
    <t>           1.731</t>
  </si>
  <si>
    <t>           1.540</t>
  </si>
  <si>
    <t>           1.625</t>
  </si>
  <si>
    <t>           3.969</t>
  </si>
  <si>
    <t>           4.109</t>
  </si>
  <si>
    <t>           1.535</t>
  </si>
  <si>
    <t>           1.291</t>
  </si>
  <si>
    <t>               32</t>
  </si>
  <si>
    <t>           1.323</t>
  </si>
  <si>
    <t>           4.371</t>
  </si>
  <si>
    <t>           4.527</t>
  </si>
  <si>
    <t>           1.586</t>
  </si>
  <si>
    <t>           1.486</t>
  </si>
  <si>
    <t>               29</t>
  </si>
  <si>
    <t>           1.515</t>
  </si>
  <si>
    <t>           3.267</t>
  </si>
  <si>
    <t>           3.389</t>
  </si>
  <si>
    <t>           1.141</t>
  </si>
  <si>
    <t>           1.022</t>
  </si>
  <si>
    <t>               20</t>
  </si>
  <si>
    <t>           1.042</t>
  </si>
  <si>
    <t>         10,909</t>
  </si>
  <si>
    <t xml:space="preserve">Note (budi): 1. Total High School </t>
  </si>
  <si>
    <t>SMK02/03</t>
  </si>
  <si>
    <t>GAMBARAN UMUM KEADAAN SMK TIAP PROVINSI</t>
  </si>
  <si>
    <t>OVERVIEW OF VOCATIONAL SENIOR SECONDARY SCHOOL (VSSS) BY PROVINCE</t>
  </si>
  <si>
    <t>No.</t>
  </si>
  <si>
    <t>P r o v i n s i</t>
  </si>
  <si>
    <t>Sekolah</t>
  </si>
  <si>
    <t>Pendaftar</t>
  </si>
  <si>
    <t>SB Tk. I</t>
  </si>
  <si>
    <t>S i s w a</t>
  </si>
  <si>
    <t>Mengulang</t>
  </si>
  <si>
    <t>Lulusan</t>
  </si>
  <si>
    <t>Pegawai</t>
  </si>
  <si>
    <t>P r o v i n c e</t>
  </si>
  <si>
    <t>Schools</t>
  </si>
  <si>
    <t>Applicants</t>
  </si>
  <si>
    <t>NE Gr. I</t>
  </si>
  <si>
    <t>Pupils</t>
  </si>
  <si>
    <t>Repeaters</t>
  </si>
  <si>
    <t>Graduates</t>
  </si>
  <si>
    <t>Non-TS</t>
  </si>
  <si>
    <t>DKI Jakarta</t>
  </si>
  <si>
    <t>Jawa Barat</t>
  </si>
  <si>
    <t>Banten</t>
  </si>
  <si>
    <t>Jawa Tengah</t>
  </si>
  <si>
    <t>DI Yogyakarta</t>
  </si>
  <si>
    <t>Jawa Timur</t>
  </si>
  <si>
    <t>Nanggroe Aceh Darussalam</t>
  </si>
  <si>
    <t>Sumatera Utara</t>
  </si>
  <si>
    <t>Sumatera Barat</t>
  </si>
  <si>
    <t>R i a u</t>
  </si>
  <si>
    <t>J a m b i</t>
  </si>
  <si>
    <t>Sumatera Selatan</t>
  </si>
  <si>
    <t>Bangka Belitung</t>
  </si>
  <si>
    <t>Bengkulu</t>
  </si>
  <si>
    <t>Lampung</t>
  </si>
  <si>
    <t>Kalimantan Barat</t>
  </si>
  <si>
    <t>Kalimantan Tengah</t>
  </si>
  <si>
    <t>Kalimantan Selatan</t>
  </si>
  <si>
    <t>Kalimantan Timur</t>
  </si>
  <si>
    <t>Sulawesi Utara</t>
  </si>
  <si>
    <t>Gorontalo</t>
  </si>
  <si>
    <t>Sulawesi Tengah</t>
  </si>
  <si>
    <t>Sulawesi Selatan</t>
  </si>
  <si>
    <t>Sulawesi Tenggara</t>
  </si>
  <si>
    <t>M a l u k u</t>
  </si>
  <si>
    <t>Maluku Utara</t>
  </si>
  <si>
    <t>B a l i</t>
  </si>
  <si>
    <t>Nusa Tenggara Barat</t>
  </si>
  <si>
    <t>Nusa Tenggara Timur</t>
  </si>
  <si>
    <t>Papua</t>
  </si>
  <si>
    <t>I n d o n e s i a</t>
  </si>
  <si>
    <t>Kelas</t>
  </si>
  <si>
    <t>Classes</t>
  </si>
  <si>
    <t>                91</t>
  </si>
  <si>
    <t>              431</t>
  </si>
  <si>
    <t>                  -</t>
  </si>
  <si>
    <t>              201</t>
  </si>
  <si>
    <t>              132</t>
  </si>
  <si>
    <t>              523</t>
  </si>
  <si>
    <t>                30</t>
  </si>
  <si>
    <t>              231</t>
  </si>
  <si>
    <t>              163</t>
  </si>
  <si>
    <t>                  8</t>
  </si>
  <si>
    <t>                18</t>
  </si>
  <si>
    <t>                61</t>
  </si>
  <si>
    <t>                21</t>
  </si>
  <si>
    <t>                48</t>
  </si>
  <si>
    <t>                25</t>
  </si>
  <si>
    <t>                26</t>
  </si>
  <si>
    <t>                23</t>
  </si>
  <si>
    <t>                33</t>
  </si>
  <si>
    <t>                87</t>
  </si>
  <si>
    <t>                27</t>
  </si>
  <si>
    <t>              223</t>
  </si>
  <si>
    <t>                17</t>
  </si>
  <si>
    <t>                45</t>
  </si>
  <si>
    <t>                  9</t>
  </si>
  <si>
    <t>                67</t>
  </si>
  <si>
    <t>                20</t>
  </si>
  <si>
    <t>                  4</t>
  </si>
  <si>
    <t>Note (budi): 1. Total High School HeadMaster</t>
  </si>
  <si>
    <t>Jawa Island</t>
  </si>
  <si>
    <t>Sumatera Island</t>
  </si>
  <si>
    <t>Kalimantan (Borneo) Island</t>
  </si>
  <si>
    <t>Sulawesi Island</t>
  </si>
  <si>
    <t>Maluku, Nusatenggara &amp; Papua Islands</t>
  </si>
  <si>
    <t>Kalimantan Island</t>
  </si>
  <si>
    <t>SLTP02/03</t>
  </si>
  <si>
    <t>GAMBARAN UMUM KEADAAN SLTP TIAP PROVINSI</t>
  </si>
  <si>
    <t>OVERVIEW OF JUNIOR SECONDARY SCHOOL (JSS) BY PROVINCE</t>
  </si>
  <si>
    <t>1.122.290</t>
  </si>
  <si>
    <t>1.141.324</t>
  </si>
  <si>
    <t>1.055.775</t>
  </si>
  <si>
    <t>                           -</t>
  </si>
  <si>
    <r>
      <t>TABEL /</t>
    </r>
    <r>
      <rPr>
        <i/>
        <sz val="10"/>
        <rFont val="Times New Roman"/>
        <family val="1"/>
      </rPr>
      <t xml:space="preserve"> TABLE</t>
    </r>
    <r>
      <rPr>
        <b/>
        <sz val="10"/>
        <rFont val="Times New Roman"/>
        <family val="1"/>
      </rPr>
      <t xml:space="preserve"> : 2</t>
    </r>
  </si>
  <si>
    <r>
      <t xml:space="preserve">STATUS SEKOLAH / </t>
    </r>
    <r>
      <rPr>
        <i/>
        <sz val="10"/>
        <rFont val="Times New Roman"/>
        <family val="1"/>
      </rPr>
      <t>STATUS OF SCHOOL</t>
    </r>
    <r>
      <rPr>
        <b/>
        <sz val="10"/>
        <rFont val="Times New Roman"/>
        <family val="1"/>
      </rPr>
      <t xml:space="preserve"> : NEGERI+SWASTA / </t>
    </r>
    <r>
      <rPr>
        <i/>
        <sz val="10"/>
        <rFont val="Times New Roman"/>
        <family val="1"/>
      </rPr>
      <t>PUBLIC+PRIVATE</t>
    </r>
  </si>
  <si>
    <r>
      <t xml:space="preserve">TAHUN / </t>
    </r>
    <r>
      <rPr>
        <i/>
        <sz val="10"/>
        <rFont val="Times New Roman"/>
        <family val="1"/>
      </rPr>
      <t xml:space="preserve">YEAR </t>
    </r>
    <r>
      <rPr>
        <b/>
        <sz val="10"/>
        <rFont val="Times New Roman"/>
        <family val="1"/>
      </rPr>
      <t>: 2002/2003</t>
    </r>
  </si>
  <si>
    <r>
      <t xml:space="preserve">1. </t>
    </r>
    <r>
      <rPr>
        <i/>
        <sz val="10"/>
        <rFont val="Times New Roman"/>
        <family val="1"/>
      </rPr>
      <t>Non-TS = Non-teaching Staffs</t>
    </r>
  </si>
  <si>
    <r>
      <t xml:space="preserve">2. SB Tk.I </t>
    </r>
    <r>
      <rPr>
        <b/>
        <sz val="10"/>
        <rFont val="Times New Roman"/>
        <family val="1"/>
      </rPr>
      <t xml:space="preserve">= </t>
    </r>
    <r>
      <rPr>
        <sz val="10"/>
        <rFont val="Times New Roman"/>
        <family val="1"/>
      </rPr>
      <t xml:space="preserve">Siswa Baru Tingkat I / </t>
    </r>
    <r>
      <rPr>
        <i/>
        <sz val="10"/>
        <rFont val="Times New Roman"/>
        <family val="1"/>
      </rPr>
      <t>NE Gr.I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New Entrants to Grade I</t>
    </r>
  </si>
  <si>
    <r>
      <t>TABEL /</t>
    </r>
    <r>
      <rPr>
        <i/>
        <sz val="10"/>
        <rFont val="Times New Roman"/>
        <family val="1"/>
      </rPr>
      <t xml:space="preserve"> TABLE</t>
    </r>
    <r>
      <rPr>
        <b/>
        <sz val="10"/>
        <rFont val="Times New Roman"/>
        <family val="1"/>
      </rPr>
      <t xml:space="preserve"> : 2 (Lanjutan/</t>
    </r>
    <r>
      <rPr>
        <i/>
        <sz val="10"/>
        <rFont val="Times New Roman"/>
        <family val="1"/>
      </rPr>
      <t>continued</t>
    </r>
    <r>
      <rPr>
        <b/>
        <sz val="10"/>
        <rFont val="Times New Roman"/>
        <family val="1"/>
      </rPr>
      <t>)</t>
    </r>
  </si>
  <si>
    <r>
      <t>TAHUN /</t>
    </r>
    <r>
      <rPr>
        <i/>
        <sz val="10"/>
        <rFont val="Times New Roman"/>
        <family val="1"/>
      </rPr>
      <t xml:space="preserve"> YEAR </t>
    </r>
    <r>
      <rPr>
        <b/>
        <sz val="10"/>
        <rFont val="Times New Roman"/>
        <family val="1"/>
      </rPr>
      <t>: 2002/2003</t>
    </r>
  </si>
  <si>
    <r>
      <t>KS dan Guru/</t>
    </r>
    <r>
      <rPr>
        <i/>
        <sz val="10"/>
        <rFont val="Times New Roman"/>
        <family val="1"/>
      </rPr>
      <t>Hm.and Teachers</t>
    </r>
  </si>
  <si>
    <r>
      <t>Ruang Kelas/</t>
    </r>
    <r>
      <rPr>
        <i/>
        <sz val="10"/>
        <rFont val="Times New Roman"/>
        <family val="1"/>
      </rPr>
      <t>Classrooms</t>
    </r>
  </si>
  <si>
    <r>
      <t>KS</t>
    </r>
    <r>
      <rPr>
        <i/>
        <sz val="10"/>
        <rFont val="Times New Roman"/>
        <family val="1"/>
      </rPr>
      <t>/Hm</t>
    </r>
  </si>
  <si>
    <r>
      <t>Guru</t>
    </r>
    <r>
      <rPr>
        <i/>
        <sz val="10"/>
        <rFont val="Times New Roman"/>
        <family val="1"/>
      </rPr>
      <t>/Teachers</t>
    </r>
  </si>
  <si>
    <r>
      <t>Jml.</t>
    </r>
    <r>
      <rPr>
        <i/>
        <sz val="10"/>
        <rFont val="Times New Roman"/>
        <family val="1"/>
      </rPr>
      <t>/Tot.</t>
    </r>
  </si>
  <si>
    <r>
      <t>Milik</t>
    </r>
    <r>
      <rPr>
        <i/>
        <sz val="10"/>
        <rFont val="Times New Roman"/>
        <family val="1"/>
      </rPr>
      <t>/Own.</t>
    </r>
  </si>
  <si>
    <r>
      <t>Bk.Mlk</t>
    </r>
    <r>
      <rPr>
        <i/>
        <sz val="10"/>
        <rFont val="Times New Roman"/>
        <family val="1"/>
      </rPr>
      <t>/Not-own.</t>
    </r>
  </si>
  <si>
    <r>
      <t>Jml.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Tot.</t>
    </r>
  </si>
  <si>
    <r>
      <t>Catatan</t>
    </r>
    <r>
      <rPr>
        <b/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Notes</t>
    </r>
    <r>
      <rPr>
        <b/>
        <sz val="10"/>
        <rFont val="Times New Roman"/>
        <family val="1"/>
      </rPr>
      <t>: </t>
    </r>
  </si>
  <si>
    <r>
      <t xml:space="preserve">1. Bk.Mlk = Bukan Milik / </t>
    </r>
    <r>
      <rPr>
        <i/>
        <sz val="10"/>
        <rFont val="Times New Roman"/>
        <family val="1"/>
      </rPr>
      <t>Not- Own. = Not- Owned </t>
    </r>
  </si>
  <si>
    <r>
      <t xml:space="preserve">2. KS = Kepala Sekolah / </t>
    </r>
    <r>
      <rPr>
        <i/>
        <sz val="10"/>
        <rFont val="Times New Roman"/>
        <family val="1"/>
      </rPr>
      <t>Hm = Headmasters</t>
    </r>
  </si>
  <si>
    <r>
      <t xml:space="preserve">TAHUN / </t>
    </r>
    <r>
      <rPr>
        <i/>
        <sz val="10"/>
        <rFont val="Times New Roman"/>
        <family val="1"/>
      </rPr>
      <t>YEAR</t>
    </r>
    <r>
      <rPr>
        <b/>
        <sz val="10"/>
        <rFont val="Times New Roman"/>
        <family val="1"/>
      </rPr>
      <t xml:space="preserve"> : 2002/2003</t>
    </r>
  </si>
  <si>
    <r>
      <t xml:space="preserve">STATUS SEKOLAH / </t>
    </r>
    <r>
      <rPr>
        <i/>
        <sz val="10"/>
        <rFont val="Times New Roman"/>
        <family val="1"/>
      </rPr>
      <t xml:space="preserve">STATUS OF SCHOOL : </t>
    </r>
    <r>
      <rPr>
        <b/>
        <sz val="10"/>
        <rFont val="Times New Roman"/>
        <family val="1"/>
      </rPr>
      <t>NEGERI+SWASTA</t>
    </r>
    <r>
      <rPr>
        <i/>
        <sz val="10"/>
        <rFont val="Times New Roman"/>
        <family val="1"/>
      </rPr>
      <t xml:space="preserve"> / PUBLIC+PRIVATE</t>
    </r>
  </si>
  <si>
    <r>
      <t xml:space="preserve">1. </t>
    </r>
    <r>
      <rPr>
        <b/>
        <sz val="10"/>
        <rFont val="Times New Roman"/>
        <family val="1"/>
      </rPr>
      <t>SB Tk.I = Siswa Baru Tingkat I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NE Gr.I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New Entrants to Grade I</t>
    </r>
  </si>
  <si>
    <r>
      <t>2.</t>
    </r>
    <r>
      <rPr>
        <i/>
        <sz val="10"/>
        <rFont val="Times New Roman"/>
        <family val="1"/>
      </rPr>
      <t xml:space="preserve"> Non-TS = Non-teaching Staffs</t>
    </r>
  </si>
  <si>
    <r>
      <t xml:space="preserve">3. </t>
    </r>
    <r>
      <rPr>
        <b/>
        <sz val="10"/>
        <rFont val="Times New Roman"/>
        <family val="1"/>
      </rPr>
      <t>RK Milik = Ruang Kelas Milik</t>
    </r>
    <r>
      <rPr>
        <sz val="10"/>
        <rFont val="Times New Roman"/>
        <family val="1"/>
      </rPr>
      <t xml:space="preserve"> /</t>
    </r>
    <r>
      <rPr>
        <i/>
        <sz val="10"/>
        <rFont val="Times New Roman"/>
        <family val="1"/>
      </rPr>
      <t xml:space="preserve"> Own.Clr. = Owned Classrooms</t>
    </r>
  </si>
  <si>
    <r>
      <t xml:space="preserve">4. </t>
    </r>
    <r>
      <rPr>
        <b/>
        <sz val="10"/>
        <rFont val="Times New Roman"/>
        <family val="1"/>
      </rPr>
      <t>RK Bk Milik = Ruang Kelas Bukan Milik</t>
    </r>
    <r>
      <rPr>
        <i/>
        <sz val="10"/>
        <rFont val="Times New Roman"/>
        <family val="1"/>
      </rPr>
      <t xml:space="preserve"> / Not-Own Cls. = Not-Owned Classrooms</t>
    </r>
  </si>
  <si>
    <r>
      <t xml:space="preserve">5. </t>
    </r>
    <r>
      <rPr>
        <b/>
        <sz val="10"/>
        <rFont val="Times New Roman"/>
        <family val="1"/>
      </rPr>
      <t>Ks = Kepala Sekolah</t>
    </r>
    <r>
      <rPr>
        <sz val="10"/>
        <rFont val="Times New Roman"/>
        <family val="1"/>
      </rPr>
      <t xml:space="preserve"> / </t>
    </r>
    <r>
      <rPr>
        <i/>
        <sz val="10"/>
        <rFont val="Times New Roman"/>
        <family val="1"/>
      </rPr>
      <t>Hm. = Headmasters</t>
    </r>
  </si>
  <si>
    <r>
      <t xml:space="preserve">TABEL 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 xml:space="preserve"> TABLE</t>
    </r>
    <r>
      <rPr>
        <b/>
        <sz val="10"/>
        <rFont val="Times New Roman"/>
        <family val="1"/>
      </rPr>
      <t xml:space="preserve"> : 2 (Lanjutan/</t>
    </r>
    <r>
      <rPr>
        <i/>
        <sz val="10"/>
        <rFont val="Times New Roman"/>
        <family val="1"/>
      </rPr>
      <t>Continued</t>
    </r>
    <r>
      <rPr>
        <b/>
        <sz val="10"/>
        <rFont val="Times New Roman"/>
        <family val="1"/>
      </rPr>
      <t>)</t>
    </r>
  </si>
  <si>
    <r>
      <t xml:space="preserve">TAHUN / </t>
    </r>
    <r>
      <rPr>
        <i/>
        <sz val="10"/>
        <rFont val="Times New Roman"/>
        <family val="1"/>
      </rPr>
      <t>YEAR</t>
    </r>
    <r>
      <rPr>
        <b/>
        <sz val="10"/>
        <rFont val="Times New Roman"/>
        <family val="1"/>
      </rPr>
      <t>: 2002/2003</t>
    </r>
  </si>
  <si>
    <t>Junior High School</t>
  </si>
  <si>
    <t>School</t>
  </si>
  <si>
    <t>Student</t>
  </si>
  <si>
    <t>Teacher</t>
  </si>
  <si>
    <t>Senior High School</t>
  </si>
  <si>
    <t>Vocational High School</t>
  </si>
  <si>
    <t xml:space="preserve">Note (budi): 1. Total Vocational Senior School </t>
  </si>
  <si>
    <t xml:space="preserve">                     2. Total Vocational Senior School Student</t>
  </si>
  <si>
    <t xml:space="preserve">                     2. Total High School Teacher</t>
  </si>
  <si>
    <r>
      <t xml:space="preserve">1. SB Tk.I </t>
    </r>
    <r>
      <rPr>
        <b/>
        <sz val="10"/>
        <rFont val="Times New Roman"/>
        <family val="1"/>
      </rPr>
      <t xml:space="preserve">= </t>
    </r>
    <r>
      <rPr>
        <sz val="10"/>
        <rFont val="Times New Roman"/>
        <family val="1"/>
      </rPr>
      <t xml:space="preserve">Siswa Baru Tingkat I / </t>
    </r>
    <r>
      <rPr>
        <i/>
        <sz val="10"/>
        <rFont val="Times New Roman"/>
        <family val="1"/>
      </rPr>
      <t>NE Gr.I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New Entrants to Grade I</t>
    </r>
  </si>
  <si>
    <r>
      <t xml:space="preserve">2. </t>
    </r>
    <r>
      <rPr>
        <i/>
        <sz val="10"/>
        <rFont val="Times New Roman"/>
        <family val="1"/>
      </rPr>
      <t>Non-TS = Non-teaching Staffs</t>
    </r>
  </si>
  <si>
    <t xml:space="preserve">                     2. Total High School Student</t>
  </si>
  <si>
    <r>
      <t>KS dan Guru</t>
    </r>
    <r>
      <rPr>
        <i/>
        <sz val="10"/>
        <rFont val="Times New Roman"/>
        <family val="1"/>
      </rPr>
      <t>/Hm and Teachers</t>
    </r>
  </si>
  <si>
    <r>
      <t>Jml</t>
    </r>
    <r>
      <rPr>
        <i/>
        <sz val="10"/>
        <rFont val="Times New Roman"/>
        <family val="1"/>
      </rPr>
      <t>./Tot</t>
    </r>
  </si>
  <si>
    <r>
      <t>Milik</t>
    </r>
    <r>
      <rPr>
        <i/>
        <sz val="10"/>
        <rFont val="Times New Roman"/>
        <family val="1"/>
      </rPr>
      <t>/Own</t>
    </r>
  </si>
  <si>
    <r>
      <t>Bk.Mlk</t>
    </r>
    <r>
      <rPr>
        <i/>
        <sz val="10"/>
        <rFont val="Times New Roman"/>
        <family val="1"/>
      </rPr>
      <t>/Not-own</t>
    </r>
  </si>
  <si>
    <r>
      <t>Jml.</t>
    </r>
    <r>
      <rPr>
        <i/>
        <sz val="10"/>
        <rFont val="Times New Roman"/>
        <family val="1"/>
      </rPr>
      <t>/Tot</t>
    </r>
  </si>
  <si>
    <r>
      <t xml:space="preserve">1. Ks = Kepala Sekolah / </t>
    </r>
    <r>
      <rPr>
        <i/>
        <sz val="10"/>
        <rFont val="Times New Roman"/>
        <family val="1"/>
      </rPr>
      <t>Hm = Headmasters</t>
    </r>
  </si>
  <si>
    <r>
      <t xml:space="preserve">2. Bk.Mlk = Bukan Milik / </t>
    </r>
    <r>
      <rPr>
        <i/>
        <sz val="10"/>
        <rFont val="Times New Roman"/>
        <family val="1"/>
      </rPr>
      <t>Not-own. = Owned Classrooms</t>
    </r>
  </si>
  <si>
    <t xml:space="preserve">Note (budi): 1. Total Jun. High School </t>
  </si>
  <si>
    <t xml:space="preserve">                     2. Total Jun. high School Student</t>
  </si>
  <si>
    <t>Note (budi): 1. Total Jun.High School HeadMaster</t>
  </si>
  <si>
    <t xml:space="preserve">                     2. Total Jun. High School Teacher</t>
  </si>
  <si>
    <t> Ks.</t>
  </si>
  <si>
    <t>Total</t>
  </si>
  <si>
    <t>No</t>
  </si>
  <si>
    <t>Note</t>
  </si>
  <si>
    <t>Basic education (K-12) in Indonesia consist of:</t>
  </si>
  <si>
    <t xml:space="preserve">Elementary School </t>
  </si>
  <si>
    <t>6 Years</t>
  </si>
  <si>
    <t>3 Years</t>
  </si>
  <si>
    <t>Summary of Junior, Senior High School &amp; Vocational Senior School</t>
  </si>
  <si>
    <t>The vocational school is same level of the senior high school level - 3 years</t>
  </si>
  <si>
    <t>Source: R&amp; D Dept of National Education Ministry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</si>
</sst>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73" fontId="4" fillId="2" borderId="4" xfId="15" applyNumberFormat="1" applyFont="1" applyFill="1" applyBorder="1" applyAlignment="1">
      <alignment horizontal="left"/>
    </xf>
    <xf numFmtId="173" fontId="4" fillId="3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73" fontId="4" fillId="2" borderId="1" xfId="15" applyNumberFormat="1" applyFont="1" applyFill="1" applyBorder="1" applyAlignment="1">
      <alignment horizontal="left"/>
    </xf>
    <xf numFmtId="173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73" fontId="7" fillId="0" borderId="0" xfId="15" applyNumberFormat="1" applyFont="1" applyAlignment="1">
      <alignment horizontal="left"/>
    </xf>
    <xf numFmtId="9" fontId="7" fillId="0" borderId="0" xfId="21" applyFont="1" applyAlignment="1">
      <alignment horizontal="left"/>
    </xf>
    <xf numFmtId="0" fontId="7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173" fontId="6" fillId="4" borderId="8" xfId="15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2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73" fontId="6" fillId="4" borderId="9" xfId="15" applyNumberFormat="1" applyFont="1" applyFill="1" applyBorder="1" applyAlignment="1">
      <alignment/>
    </xf>
    <xf numFmtId="173" fontId="6" fillId="0" borderId="9" xfId="15" applyNumberFormat="1" applyFont="1" applyBorder="1" applyAlignment="1">
      <alignment/>
    </xf>
    <xf numFmtId="173" fontId="6" fillId="0" borderId="22" xfId="15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73" fontId="6" fillId="0" borderId="8" xfId="15" applyNumberFormat="1" applyFont="1" applyBorder="1" applyAlignment="1">
      <alignment horizontal="left"/>
    </xf>
    <xf numFmtId="173" fontId="6" fillId="0" borderId="16" xfId="15" applyNumberFormat="1" applyFont="1" applyFill="1" applyBorder="1" applyAlignment="1">
      <alignment horizontal="left"/>
    </xf>
    <xf numFmtId="173" fontId="6" fillId="0" borderId="9" xfId="15" applyNumberFormat="1" applyFont="1" applyFill="1" applyBorder="1" applyAlignment="1">
      <alignment horizontal="left"/>
    </xf>
    <xf numFmtId="173" fontId="6" fillId="4" borderId="9" xfId="15" applyNumberFormat="1" applyFont="1" applyFill="1" applyBorder="1" applyAlignment="1">
      <alignment horizontal="left"/>
    </xf>
    <xf numFmtId="173" fontId="6" fillId="0" borderId="23" xfId="15" applyNumberFormat="1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173" fontId="4" fillId="2" borderId="25" xfId="15" applyNumberFormat="1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173" fontId="4" fillId="3" borderId="25" xfId="0" applyNumberFormat="1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173" fontId="4" fillId="2" borderId="10" xfId="15" applyNumberFormat="1" applyFont="1" applyFill="1" applyBorder="1" applyAlignment="1">
      <alignment horizontal="left"/>
    </xf>
    <xf numFmtId="173" fontId="4" fillId="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73" fontId="6" fillId="0" borderId="9" xfId="15" applyNumberFormat="1" applyFont="1" applyBorder="1" applyAlignment="1">
      <alignment horizontal="left"/>
    </xf>
    <xf numFmtId="173" fontId="6" fillId="0" borderId="0" xfId="15" applyNumberFormat="1" applyFont="1" applyBorder="1" applyAlignment="1">
      <alignment horizontal="left"/>
    </xf>
    <xf numFmtId="173" fontId="6" fillId="0" borderId="22" xfId="15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173" fontId="6" fillId="0" borderId="29" xfId="15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4" fillId="0" borderId="30" xfId="15" applyNumberFormat="1" applyFont="1" applyBorder="1" applyAlignment="1">
      <alignment horizontal="left"/>
    </xf>
    <xf numFmtId="173" fontId="4" fillId="0" borderId="31" xfId="15" applyNumberFormat="1" applyFont="1" applyBorder="1" applyAlignment="1">
      <alignment horizontal="left"/>
    </xf>
    <xf numFmtId="173" fontId="4" fillId="0" borderId="32" xfId="15" applyNumberFormat="1" applyFont="1" applyBorder="1" applyAlignment="1">
      <alignment horizontal="left"/>
    </xf>
    <xf numFmtId="173" fontId="5" fillId="0" borderId="33" xfId="15" applyNumberFormat="1" applyFont="1" applyBorder="1" applyAlignment="1">
      <alignment horizontal="left"/>
    </xf>
    <xf numFmtId="173" fontId="5" fillId="0" borderId="34" xfId="15" applyNumberFormat="1" applyFont="1" applyBorder="1" applyAlignment="1">
      <alignment horizontal="left"/>
    </xf>
    <xf numFmtId="173" fontId="5" fillId="0" borderId="35" xfId="15" applyNumberFormat="1" applyFont="1" applyBorder="1" applyAlignment="1">
      <alignment horizontal="left"/>
    </xf>
    <xf numFmtId="173" fontId="5" fillId="0" borderId="36" xfId="15" applyNumberFormat="1" applyFont="1" applyBorder="1" applyAlignment="1">
      <alignment horizontal="left"/>
    </xf>
    <xf numFmtId="173" fontId="5" fillId="0" borderId="37" xfId="15" applyNumberFormat="1" applyFont="1" applyBorder="1" applyAlignment="1">
      <alignment horizontal="left"/>
    </xf>
    <xf numFmtId="173" fontId="5" fillId="0" borderId="38" xfId="15" applyNumberFormat="1" applyFont="1" applyBorder="1" applyAlignment="1">
      <alignment horizontal="left"/>
    </xf>
    <xf numFmtId="173" fontId="5" fillId="0" borderId="39" xfId="15" applyNumberFormat="1" applyFont="1" applyBorder="1" applyAlignment="1">
      <alignment horizontal="left"/>
    </xf>
    <xf numFmtId="173" fontId="5" fillId="0" borderId="40" xfId="15" applyNumberFormat="1" applyFont="1" applyBorder="1" applyAlignment="1">
      <alignment horizontal="left"/>
    </xf>
    <xf numFmtId="173" fontId="5" fillId="0" borderId="41" xfId="15" applyNumberFormat="1" applyFont="1" applyBorder="1" applyAlignment="1">
      <alignment horizontal="left"/>
    </xf>
    <xf numFmtId="173" fontId="5" fillId="0" borderId="0" xfId="15" applyNumberFormat="1" applyFont="1" applyAlignment="1" quotePrefix="1">
      <alignment horizontal="left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73" fontId="4" fillId="4" borderId="30" xfId="15" applyNumberFormat="1" applyFont="1" applyFill="1" applyBorder="1" applyAlignment="1">
      <alignment horizontal="left"/>
    </xf>
    <xf numFmtId="173" fontId="4" fillId="4" borderId="31" xfId="15" applyNumberFormat="1" applyFont="1" applyFill="1" applyBorder="1" applyAlignment="1">
      <alignment horizontal="left"/>
    </xf>
    <xf numFmtId="173" fontId="4" fillId="4" borderId="32" xfId="15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29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.8515625" style="111" customWidth="1"/>
    <col min="2" max="2" width="5.140625" style="111" customWidth="1"/>
    <col min="3" max="3" width="22.57421875" style="111" customWidth="1"/>
    <col min="4" max="4" width="11.57421875" style="111" bestFit="1" customWidth="1"/>
    <col min="5" max="5" width="15.7109375" style="111" bestFit="1" customWidth="1"/>
    <col min="6" max="6" width="12.7109375" style="111" bestFit="1" customWidth="1"/>
    <col min="7" max="16384" width="9.140625" style="111" customWidth="1"/>
  </cols>
  <sheetData>
    <row r="4" ht="15.75" thickBot="1">
      <c r="B4" s="111" t="s">
        <v>482</v>
      </c>
    </row>
    <row r="5" spans="2:6" ht="15.75" thickBot="1">
      <c r="B5" s="112" t="s">
        <v>476</v>
      </c>
      <c r="C5" s="113" t="s">
        <v>452</v>
      </c>
      <c r="D5" s="113" t="s">
        <v>452</v>
      </c>
      <c r="E5" s="113" t="s">
        <v>453</v>
      </c>
      <c r="F5" s="114" t="s">
        <v>454</v>
      </c>
    </row>
    <row r="6" spans="2:6" ht="15">
      <c r="B6" s="115">
        <v>1</v>
      </c>
      <c r="C6" s="116" t="s">
        <v>451</v>
      </c>
      <c r="D6" s="116">
        <v>20918</v>
      </c>
      <c r="E6" s="116">
        <v>7724274</v>
      </c>
      <c r="F6" s="117">
        <v>445830</v>
      </c>
    </row>
    <row r="7" spans="2:6" ht="15">
      <c r="B7" s="118">
        <v>2</v>
      </c>
      <c r="C7" s="119" t="s">
        <v>455</v>
      </c>
      <c r="D7" s="119">
        <v>8036</v>
      </c>
      <c r="E7" s="119">
        <v>3339399</v>
      </c>
      <c r="F7" s="120">
        <v>222295</v>
      </c>
    </row>
    <row r="8" spans="2:6" ht="15.75" thickBot="1">
      <c r="B8" s="121">
        <v>3</v>
      </c>
      <c r="C8" s="122" t="s">
        <v>456</v>
      </c>
      <c r="D8" s="122">
        <v>4943</v>
      </c>
      <c r="E8" s="122">
        <v>2268606</v>
      </c>
      <c r="F8" s="123">
        <v>142673</v>
      </c>
    </row>
    <row r="9" spans="2:6" ht="15.75" thickBot="1">
      <c r="B9" s="130"/>
      <c r="C9" s="131" t="s">
        <v>475</v>
      </c>
      <c r="D9" s="131">
        <f>SUM(D6:D8)</f>
        <v>33897</v>
      </c>
      <c r="E9" s="131">
        <f>SUM(E6:E8)</f>
        <v>13332279</v>
      </c>
      <c r="F9" s="132">
        <f>SUM(F6:F8)</f>
        <v>810798</v>
      </c>
    </row>
    <row r="12" ht="15">
      <c r="B12" s="111" t="s">
        <v>477</v>
      </c>
    </row>
    <row r="13" ht="15">
      <c r="B13" s="111" t="s">
        <v>478</v>
      </c>
    </row>
    <row r="14" spans="2:4" ht="15">
      <c r="B14" s="124">
        <v>1</v>
      </c>
      <c r="C14" s="111" t="s">
        <v>479</v>
      </c>
      <c r="D14" s="111" t="s">
        <v>480</v>
      </c>
    </row>
    <row r="15" spans="2:4" ht="15">
      <c r="B15" s="111">
        <v>2</v>
      </c>
      <c r="C15" s="111" t="s">
        <v>451</v>
      </c>
      <c r="D15" s="111" t="s">
        <v>481</v>
      </c>
    </row>
    <row r="16" spans="2:4" ht="15">
      <c r="B16" s="111">
        <v>3</v>
      </c>
      <c r="C16" s="111" t="s">
        <v>455</v>
      </c>
      <c r="D16" s="111" t="s">
        <v>481</v>
      </c>
    </row>
    <row r="17" ht="15">
      <c r="B17" s="111" t="s">
        <v>483</v>
      </c>
    </row>
    <row r="19" ht="15">
      <c r="B19" s="111" t="s">
        <v>484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0"/>
  <sheetViews>
    <sheetView workbookViewId="0" topLeftCell="A1">
      <selection activeCell="B98" sqref="B98:C98"/>
    </sheetView>
  </sheetViews>
  <sheetFormatPr defaultColWidth="9.140625" defaultRowHeight="12.75"/>
  <cols>
    <col min="1" max="1" width="3.57421875" style="2" customWidth="1"/>
    <col min="2" max="2" width="4.57421875" style="2" customWidth="1"/>
    <col min="3" max="3" width="26.00390625" style="2" customWidth="1"/>
    <col min="4" max="4" width="7.28125" style="2" bestFit="1" customWidth="1"/>
    <col min="5" max="5" width="12.00390625" style="2" bestFit="1" customWidth="1"/>
    <col min="6" max="6" width="11.57421875" style="2" bestFit="1" customWidth="1"/>
    <col min="7" max="7" width="10.00390625" style="2" bestFit="1" customWidth="1"/>
    <col min="8" max="8" width="9.57421875" style="2" bestFit="1" customWidth="1"/>
    <col min="9" max="9" width="13.57421875" style="2" bestFit="1" customWidth="1"/>
    <col min="10" max="10" width="10.140625" style="2" bestFit="1" customWidth="1"/>
    <col min="11" max="16384" width="9.140625" style="2" customWidth="1"/>
  </cols>
  <sheetData>
    <row r="1" spans="2:10" ht="12.75">
      <c r="B1" s="145" t="s">
        <v>424</v>
      </c>
      <c r="C1" s="146"/>
      <c r="D1" s="94"/>
      <c r="E1" s="94"/>
      <c r="F1" s="94"/>
      <c r="G1" s="94"/>
      <c r="H1" s="94"/>
      <c r="I1" s="94"/>
      <c r="J1" s="95" t="s">
        <v>417</v>
      </c>
    </row>
    <row r="2" spans="2:10" ht="12.75">
      <c r="B2" s="137" t="s">
        <v>418</v>
      </c>
      <c r="C2" s="138"/>
      <c r="D2" s="138"/>
      <c r="E2" s="138"/>
      <c r="F2" s="61"/>
      <c r="G2" s="61"/>
      <c r="H2" s="61"/>
      <c r="I2" s="61"/>
      <c r="J2" s="97"/>
    </row>
    <row r="3" spans="2:10" ht="12.75">
      <c r="B3" s="143" t="s">
        <v>419</v>
      </c>
      <c r="C3" s="144"/>
      <c r="D3" s="144"/>
      <c r="E3" s="144"/>
      <c r="F3" s="144"/>
      <c r="G3" s="61"/>
      <c r="H3" s="61"/>
      <c r="I3" s="61"/>
      <c r="J3" s="97"/>
    </row>
    <row r="4" spans="2:10" ht="12.75">
      <c r="B4" s="137" t="s">
        <v>425</v>
      </c>
      <c r="C4" s="138"/>
      <c r="D4" s="138"/>
      <c r="E4" s="138"/>
      <c r="F4" s="138"/>
      <c r="G4" s="138"/>
      <c r="H4" s="61"/>
      <c r="I4" s="61"/>
      <c r="J4" s="97"/>
    </row>
    <row r="5" spans="2:10" ht="12.75">
      <c r="B5" s="137" t="s">
        <v>426</v>
      </c>
      <c r="C5" s="138"/>
      <c r="D5" s="61"/>
      <c r="E5" s="61"/>
      <c r="F5" s="61"/>
      <c r="G5" s="61"/>
      <c r="H5" s="61"/>
      <c r="I5" s="61"/>
      <c r="J5" s="97"/>
    </row>
    <row r="6" spans="2:10" ht="12.75">
      <c r="B6" s="98"/>
      <c r="C6" s="46"/>
      <c r="D6" s="46"/>
      <c r="E6" s="46"/>
      <c r="F6" s="46"/>
      <c r="G6" s="46"/>
      <c r="H6" s="46"/>
      <c r="I6" s="46"/>
      <c r="J6" s="99"/>
    </row>
    <row r="7" spans="2:10" ht="12.75">
      <c r="B7" s="96" t="s">
        <v>333</v>
      </c>
      <c r="C7" s="93" t="s">
        <v>334</v>
      </c>
      <c r="D7" s="93" t="s">
        <v>335</v>
      </c>
      <c r="E7" s="93" t="s">
        <v>336</v>
      </c>
      <c r="F7" s="93" t="s">
        <v>337</v>
      </c>
      <c r="G7" s="93" t="s">
        <v>338</v>
      </c>
      <c r="H7" s="93" t="s">
        <v>339</v>
      </c>
      <c r="I7" s="93" t="s">
        <v>340</v>
      </c>
      <c r="J7" s="100" t="s">
        <v>341</v>
      </c>
    </row>
    <row r="8" spans="2:10" ht="12.75">
      <c r="B8" s="98"/>
      <c r="C8" s="91" t="s">
        <v>342</v>
      </c>
      <c r="D8" s="91" t="s">
        <v>343</v>
      </c>
      <c r="E8" s="91" t="s">
        <v>344</v>
      </c>
      <c r="F8" s="91" t="s">
        <v>345</v>
      </c>
      <c r="G8" s="91" t="s">
        <v>346</v>
      </c>
      <c r="H8" s="91" t="s">
        <v>347</v>
      </c>
      <c r="I8" s="91" t="s">
        <v>348</v>
      </c>
      <c r="J8" s="101" t="s">
        <v>349</v>
      </c>
    </row>
    <row r="9" spans="2:10" ht="12.75">
      <c r="B9" s="96" t="s">
        <v>411</v>
      </c>
      <c r="C9" s="61"/>
      <c r="D9" s="61"/>
      <c r="E9" s="61"/>
      <c r="F9" s="61"/>
      <c r="G9" s="61"/>
      <c r="H9" s="61"/>
      <c r="I9" s="61"/>
      <c r="J9" s="97"/>
    </row>
    <row r="10" spans="2:10" ht="12.75">
      <c r="B10" s="102" t="s">
        <v>20</v>
      </c>
      <c r="C10" s="61" t="s">
        <v>21</v>
      </c>
      <c r="D10" s="61">
        <f>1022</f>
        <v>1022</v>
      </c>
      <c r="E10" s="61">
        <f>133658</f>
        <v>133658</v>
      </c>
      <c r="F10" s="61">
        <f>117407</f>
        <v>117407</v>
      </c>
      <c r="G10" s="61">
        <v>375.691</v>
      </c>
      <c r="H10" s="61">
        <v>2.312</v>
      </c>
      <c r="I10" s="61">
        <f>115204</f>
        <v>115204</v>
      </c>
      <c r="J10" s="97">
        <f>6124</f>
        <v>6124</v>
      </c>
    </row>
    <row r="11" spans="2:10" ht="12.75">
      <c r="B11" s="102" t="s">
        <v>24</v>
      </c>
      <c r="C11" s="61" t="s">
        <v>25</v>
      </c>
      <c r="D11" s="61">
        <f>2225</f>
        <v>2225</v>
      </c>
      <c r="E11" s="61">
        <f>423508</f>
        <v>423508</v>
      </c>
      <c r="F11" s="61">
        <f>368718</f>
        <v>368718</v>
      </c>
      <c r="G11" s="61" t="s">
        <v>420</v>
      </c>
      <c r="H11" s="61">
        <v>1.932</v>
      </c>
      <c r="I11" s="61">
        <f>341687</f>
        <v>341687</v>
      </c>
      <c r="J11" s="97">
        <f>12058</f>
        <v>12058</v>
      </c>
    </row>
    <row r="12" spans="2:10" ht="12.75">
      <c r="B12" s="102" t="s">
        <v>29</v>
      </c>
      <c r="C12" s="61" t="s">
        <v>30</v>
      </c>
      <c r="D12" s="61">
        <f>533</f>
        <v>533</v>
      </c>
      <c r="E12" s="61">
        <f>97853</f>
        <v>97853</v>
      </c>
      <c r="F12" s="61">
        <f>85369</f>
        <v>85369</v>
      </c>
      <c r="G12" s="61">
        <v>236.521</v>
      </c>
      <c r="H12" s="61">
        <v>449</v>
      </c>
      <c r="I12" s="61">
        <f>69333</f>
        <v>69333</v>
      </c>
      <c r="J12" s="97">
        <f>2846</f>
        <v>2846</v>
      </c>
    </row>
    <row r="13" spans="2:10" ht="12.75">
      <c r="B13" s="102" t="s">
        <v>33</v>
      </c>
      <c r="C13" s="61" t="s">
        <v>34</v>
      </c>
      <c r="D13" s="61">
        <f>2659</f>
        <v>2659</v>
      </c>
      <c r="E13" s="61">
        <f>418936</f>
        <v>418936</v>
      </c>
      <c r="F13" s="61">
        <f>376089</f>
        <v>376089</v>
      </c>
      <c r="G13" s="61" t="s">
        <v>421</v>
      </c>
      <c r="H13" s="61">
        <v>3.615</v>
      </c>
      <c r="I13" s="61">
        <f>369877</f>
        <v>369877</v>
      </c>
      <c r="J13" s="97">
        <f>18451</f>
        <v>18451</v>
      </c>
    </row>
    <row r="14" spans="2:10" ht="12.75">
      <c r="B14" s="102" t="s">
        <v>37</v>
      </c>
      <c r="C14" s="61" t="s">
        <v>38</v>
      </c>
      <c r="D14" s="61">
        <f>424</f>
        <v>424</v>
      </c>
      <c r="E14" s="61">
        <v>50.922</v>
      </c>
      <c r="F14" s="61">
        <f>42863</f>
        <v>42863</v>
      </c>
      <c r="G14" s="61">
        <v>125.879</v>
      </c>
      <c r="H14" s="61">
        <v>363</v>
      </c>
      <c r="I14" s="61">
        <f>42027</f>
        <v>42027</v>
      </c>
      <c r="J14" s="97">
        <f>2540</f>
        <v>2540</v>
      </c>
    </row>
    <row r="15" spans="2:10" ht="12.75">
      <c r="B15" s="102" t="s">
        <v>41</v>
      </c>
      <c r="C15" s="61" t="s">
        <v>42</v>
      </c>
      <c r="D15" s="61">
        <f>2895</f>
        <v>2895</v>
      </c>
      <c r="E15" s="61">
        <v>350.711</v>
      </c>
      <c r="F15" s="61">
        <f>344691</f>
        <v>344691</v>
      </c>
      <c r="G15" s="61" t="s">
        <v>422</v>
      </c>
      <c r="H15" s="61">
        <v>2.945</v>
      </c>
      <c r="I15" s="61">
        <f>332486</f>
        <v>332486</v>
      </c>
      <c r="J15" s="97">
        <f>13482</f>
        <v>13482</v>
      </c>
    </row>
    <row r="16" spans="2:10" ht="12.75">
      <c r="B16" s="96" t="s">
        <v>412</v>
      </c>
      <c r="C16" s="61"/>
      <c r="D16" s="61"/>
      <c r="E16" s="61"/>
      <c r="F16" s="61"/>
      <c r="G16" s="61"/>
      <c r="H16" s="61"/>
      <c r="I16" s="61"/>
      <c r="J16" s="97"/>
    </row>
    <row r="17" spans="2:10" ht="12.75">
      <c r="B17" s="102" t="s">
        <v>45</v>
      </c>
      <c r="C17" s="61" t="s">
        <v>46</v>
      </c>
      <c r="D17" s="61">
        <v>519</v>
      </c>
      <c r="E17" s="61">
        <v>62.585</v>
      </c>
      <c r="F17" s="61">
        <f>56383</f>
        <v>56383</v>
      </c>
      <c r="G17" s="61">
        <v>158.591</v>
      </c>
      <c r="H17" s="61">
        <v>703</v>
      </c>
      <c r="I17" s="61">
        <f>46584</f>
        <v>46584</v>
      </c>
      <c r="J17" s="97">
        <f>1721</f>
        <v>1721</v>
      </c>
    </row>
    <row r="18" spans="2:10" ht="12.75">
      <c r="B18" s="102" t="s">
        <v>49</v>
      </c>
      <c r="C18" s="61" t="s">
        <v>50</v>
      </c>
      <c r="D18" s="61">
        <f>1698</f>
        <v>1698</v>
      </c>
      <c r="E18" s="61">
        <v>224.946</v>
      </c>
      <c r="F18" s="61">
        <f>200845</f>
        <v>200845</v>
      </c>
      <c r="G18" s="61">
        <v>587.295</v>
      </c>
      <c r="H18" s="61">
        <v>2.363</v>
      </c>
      <c r="I18" s="61">
        <f>175033</f>
        <v>175033</v>
      </c>
      <c r="J18" s="97">
        <f>4068</f>
        <v>4068</v>
      </c>
    </row>
    <row r="19" spans="2:10" ht="12.75">
      <c r="B19" s="102" t="s">
        <v>53</v>
      </c>
      <c r="C19" s="61" t="s">
        <v>54</v>
      </c>
      <c r="D19" s="61">
        <f>454</f>
        <v>454</v>
      </c>
      <c r="E19" s="61">
        <v>69.642</v>
      </c>
      <c r="F19" s="61">
        <f>61090</f>
        <v>61090</v>
      </c>
      <c r="G19" s="61">
        <v>182.932</v>
      </c>
      <c r="H19" s="61">
        <v>1.69</v>
      </c>
      <c r="I19" s="61">
        <v>56.457</v>
      </c>
      <c r="J19" s="97">
        <f>2308</f>
        <v>2308</v>
      </c>
    </row>
    <row r="20" spans="2:10" ht="12.75">
      <c r="B20" s="102" t="s">
        <v>57</v>
      </c>
      <c r="C20" s="61" t="s">
        <v>58</v>
      </c>
      <c r="D20" s="61">
        <f>539</f>
        <v>539</v>
      </c>
      <c r="E20" s="61">
        <v>68.923</v>
      </c>
      <c r="F20" s="61">
        <f>64459</f>
        <v>64459</v>
      </c>
      <c r="G20" s="61">
        <v>177.048</v>
      </c>
      <c r="H20" s="61">
        <v>1.143</v>
      </c>
      <c r="I20" s="61">
        <v>51.275</v>
      </c>
      <c r="J20" s="97">
        <f>1613</f>
        <v>1613</v>
      </c>
    </row>
    <row r="21" spans="2:10" ht="12.75">
      <c r="B21" s="102" t="s">
        <v>61</v>
      </c>
      <c r="C21" s="61" t="s">
        <v>62</v>
      </c>
      <c r="D21" s="61">
        <f>335</f>
        <v>335</v>
      </c>
      <c r="E21" s="61">
        <v>36.95</v>
      </c>
      <c r="F21" s="61">
        <f>33288</f>
        <v>33288</v>
      </c>
      <c r="G21" s="61">
        <v>95.683</v>
      </c>
      <c r="H21" s="61">
        <v>656</v>
      </c>
      <c r="I21" s="61">
        <v>26.504</v>
      </c>
      <c r="J21" s="97">
        <f>1075</f>
        <v>1075</v>
      </c>
    </row>
    <row r="22" spans="2:10" ht="12.75">
      <c r="B22" s="102" t="s">
        <v>65</v>
      </c>
      <c r="C22" s="61" t="s">
        <v>66</v>
      </c>
      <c r="D22" s="61">
        <f>729</f>
        <v>729</v>
      </c>
      <c r="E22" s="61">
        <v>88.249</v>
      </c>
      <c r="F22" s="61">
        <f>79003</f>
        <v>79003</v>
      </c>
      <c r="G22" s="61">
        <v>239.984</v>
      </c>
      <c r="H22" s="61">
        <v>1.11</v>
      </c>
      <c r="I22" s="61">
        <v>74.307</v>
      </c>
      <c r="J22" s="97">
        <f>2245</f>
        <v>2245</v>
      </c>
    </row>
    <row r="23" spans="2:10" ht="12.75">
      <c r="B23" s="102" t="s">
        <v>69</v>
      </c>
      <c r="C23" s="61" t="s">
        <v>70</v>
      </c>
      <c r="D23" s="61">
        <f>125</f>
        <v>125</v>
      </c>
      <c r="E23" s="61">
        <v>14.993</v>
      </c>
      <c r="F23" s="61">
        <f>13365</f>
        <v>13365</v>
      </c>
      <c r="G23" s="61">
        <v>38.702</v>
      </c>
      <c r="H23" s="61">
        <v>300</v>
      </c>
      <c r="I23" s="61">
        <v>11.326</v>
      </c>
      <c r="J23" s="97">
        <f>392</f>
        <v>392</v>
      </c>
    </row>
    <row r="24" spans="2:10" ht="12.75">
      <c r="B24" s="102" t="s">
        <v>73</v>
      </c>
      <c r="C24" s="61" t="s">
        <v>74</v>
      </c>
      <c r="D24" s="61">
        <f>204</f>
        <v>204</v>
      </c>
      <c r="E24" s="61">
        <v>27.07</v>
      </c>
      <c r="F24" s="61">
        <f>22125</f>
        <v>22125</v>
      </c>
      <c r="G24" s="61">
        <v>67.121</v>
      </c>
      <c r="H24" s="61">
        <v>504</v>
      </c>
      <c r="I24" s="61">
        <v>20.102</v>
      </c>
      <c r="J24" s="97">
        <f>710</f>
        <v>710</v>
      </c>
    </row>
    <row r="25" spans="2:10" ht="12.75">
      <c r="B25" s="102" t="s">
        <v>77</v>
      </c>
      <c r="C25" s="61" t="s">
        <v>78</v>
      </c>
      <c r="D25" s="61">
        <f>914</f>
        <v>914</v>
      </c>
      <c r="E25" s="61">
        <v>110.924</v>
      </c>
      <c r="F25" s="61">
        <f>99763</f>
        <v>99763</v>
      </c>
      <c r="G25" s="61">
        <v>289.036</v>
      </c>
      <c r="H25" s="61">
        <v>457</v>
      </c>
      <c r="I25" s="61">
        <v>86.528</v>
      </c>
      <c r="J25" s="97">
        <f>2238</f>
        <v>2238</v>
      </c>
    </row>
    <row r="26" spans="2:10" ht="12.75">
      <c r="B26" s="96" t="s">
        <v>416</v>
      </c>
      <c r="C26" s="61"/>
      <c r="D26" s="61"/>
      <c r="E26" s="61"/>
      <c r="F26" s="61"/>
      <c r="G26" s="61"/>
      <c r="H26" s="61"/>
      <c r="I26" s="61"/>
      <c r="J26" s="97"/>
    </row>
    <row r="27" spans="2:10" ht="12.75">
      <c r="B27" s="102" t="s">
        <v>81</v>
      </c>
      <c r="C27" s="61" t="s">
        <v>82</v>
      </c>
      <c r="D27" s="61">
        <f>581</f>
        <v>581</v>
      </c>
      <c r="E27" s="61">
        <v>59.837</v>
      </c>
      <c r="F27" s="61">
        <f>50832</f>
        <v>50832</v>
      </c>
      <c r="G27" s="61">
        <v>144.383</v>
      </c>
      <c r="H27" s="61">
        <v>2.175</v>
      </c>
      <c r="I27" s="61">
        <v>40.182</v>
      </c>
      <c r="J27" s="97">
        <f>1539</f>
        <v>1539</v>
      </c>
    </row>
    <row r="28" spans="2:10" ht="12.75">
      <c r="B28" s="102" t="s">
        <v>85</v>
      </c>
      <c r="C28" s="61" t="s">
        <v>86</v>
      </c>
      <c r="D28" s="61">
        <f>289</f>
        <v>289</v>
      </c>
      <c r="E28" s="61">
        <v>17.29</v>
      </c>
      <c r="F28" s="61">
        <f>13966</f>
        <v>13966</v>
      </c>
      <c r="G28" s="61">
        <v>53.978</v>
      </c>
      <c r="H28" s="61">
        <v>355</v>
      </c>
      <c r="I28" s="61">
        <v>13.685</v>
      </c>
      <c r="J28" s="97">
        <f>700</f>
        <v>700</v>
      </c>
    </row>
    <row r="29" spans="2:10" ht="12.75">
      <c r="B29" s="102" t="s">
        <v>89</v>
      </c>
      <c r="C29" s="61" t="s">
        <v>90</v>
      </c>
      <c r="D29" s="61">
        <f>331</f>
        <v>331</v>
      </c>
      <c r="E29" s="61">
        <v>28.339</v>
      </c>
      <c r="F29" s="61">
        <f>25762</f>
        <v>25762</v>
      </c>
      <c r="G29" s="61">
        <v>75.461</v>
      </c>
      <c r="H29" s="61">
        <v>444</v>
      </c>
      <c r="I29" s="61">
        <v>22.965</v>
      </c>
      <c r="J29" s="97">
        <f>1072</f>
        <v>1072</v>
      </c>
    </row>
    <row r="30" spans="2:10" ht="12.75">
      <c r="B30" s="102" t="s">
        <v>93</v>
      </c>
      <c r="C30" s="61" t="s">
        <v>94</v>
      </c>
      <c r="D30" s="61">
        <f>385</f>
        <v>385</v>
      </c>
      <c r="E30" s="61">
        <v>34.051</v>
      </c>
      <c r="F30" s="61">
        <f>30956</f>
        <v>30956</v>
      </c>
      <c r="G30" s="61">
        <v>102.702</v>
      </c>
      <c r="H30" s="61">
        <v>364</v>
      </c>
      <c r="I30" s="61">
        <v>29.204</v>
      </c>
      <c r="J30" s="97">
        <f>1251</f>
        <v>1251</v>
      </c>
    </row>
    <row r="31" spans="2:10" ht="12.75">
      <c r="B31" s="96" t="s">
        <v>414</v>
      </c>
      <c r="C31" s="61"/>
      <c r="D31" s="61"/>
      <c r="E31" s="61"/>
      <c r="F31" s="61"/>
      <c r="G31" s="61"/>
      <c r="H31" s="61"/>
      <c r="I31" s="61"/>
      <c r="J31" s="97"/>
    </row>
    <row r="32" spans="2:10" ht="12.75">
      <c r="B32" s="102" t="s">
        <v>98</v>
      </c>
      <c r="C32" s="61" t="s">
        <v>99</v>
      </c>
      <c r="D32" s="61">
        <f>478</f>
        <v>478</v>
      </c>
      <c r="E32" s="61">
        <v>33.575</v>
      </c>
      <c r="F32" s="61">
        <f>28412</f>
        <v>28412</v>
      </c>
      <c r="G32" s="61">
        <v>82.116</v>
      </c>
      <c r="H32" s="61">
        <v>331</v>
      </c>
      <c r="I32" s="61">
        <v>23.577</v>
      </c>
      <c r="J32" s="97">
        <f>1338</f>
        <v>1338</v>
      </c>
    </row>
    <row r="33" spans="2:10" ht="12.75">
      <c r="B33" s="102" t="s">
        <v>102</v>
      </c>
      <c r="C33" s="61" t="s">
        <v>103</v>
      </c>
      <c r="D33" s="61">
        <f>92</f>
        <v>92</v>
      </c>
      <c r="E33" s="61">
        <v>10.251</v>
      </c>
      <c r="F33" s="61">
        <f>8582</f>
        <v>8582</v>
      </c>
      <c r="G33" s="61">
        <v>23.767</v>
      </c>
      <c r="H33" s="61">
        <v>102</v>
      </c>
      <c r="I33" s="61">
        <v>7.031</v>
      </c>
      <c r="J33" s="97">
        <f>347</f>
        <v>347</v>
      </c>
    </row>
    <row r="34" spans="2:10" ht="12.75">
      <c r="B34" s="102" t="s">
        <v>106</v>
      </c>
      <c r="C34" s="61" t="s">
        <v>107</v>
      </c>
      <c r="D34" s="61">
        <f>313</f>
        <v>313</v>
      </c>
      <c r="E34" s="61">
        <v>30.807</v>
      </c>
      <c r="F34" s="61">
        <f>26789</f>
        <v>26789</v>
      </c>
      <c r="G34" s="61">
        <v>77.416</v>
      </c>
      <c r="H34" s="61">
        <v>145</v>
      </c>
      <c r="I34" s="61">
        <v>19.276</v>
      </c>
      <c r="J34" s="97">
        <f>835</f>
        <v>835</v>
      </c>
    </row>
    <row r="35" spans="2:10" ht="12.75">
      <c r="B35" s="102" t="s">
        <v>110</v>
      </c>
      <c r="C35" s="61" t="s">
        <v>111</v>
      </c>
      <c r="D35" s="61">
        <f>936</f>
        <v>936</v>
      </c>
      <c r="E35" s="61">
        <v>124.393</v>
      </c>
      <c r="F35" s="61">
        <f>111532</f>
        <v>111532</v>
      </c>
      <c r="G35" s="61">
        <v>311.577</v>
      </c>
      <c r="H35" s="61">
        <v>1.32</v>
      </c>
      <c r="I35" s="61">
        <v>89.381</v>
      </c>
      <c r="J35" s="97">
        <f>3826</f>
        <v>3826</v>
      </c>
    </row>
    <row r="36" spans="2:10" ht="12.75">
      <c r="B36" s="102" t="s">
        <v>114</v>
      </c>
      <c r="C36" s="61" t="s">
        <v>115</v>
      </c>
      <c r="D36" s="61">
        <f>260</f>
        <v>260</v>
      </c>
      <c r="E36" s="61">
        <v>35.965</v>
      </c>
      <c r="F36" s="61">
        <f>32113</f>
        <v>32113</v>
      </c>
      <c r="G36" s="61">
        <v>92.006</v>
      </c>
      <c r="H36" s="61">
        <v>417</v>
      </c>
      <c r="I36" s="61">
        <v>24.42</v>
      </c>
      <c r="J36" s="97">
        <f>1216</f>
        <v>1216</v>
      </c>
    </row>
    <row r="37" spans="2:10" ht="12.75">
      <c r="B37" s="96" t="s">
        <v>415</v>
      </c>
      <c r="C37" s="61"/>
      <c r="D37" s="61"/>
      <c r="E37" s="61"/>
      <c r="F37" s="61"/>
      <c r="G37" s="61"/>
      <c r="H37" s="61"/>
      <c r="I37" s="61"/>
      <c r="J37" s="97"/>
    </row>
    <row r="38" spans="2:10" ht="12.75">
      <c r="B38" s="102" t="s">
        <v>117</v>
      </c>
      <c r="C38" s="61" t="s">
        <v>118</v>
      </c>
      <c r="D38" s="61">
        <f>309</f>
        <v>309</v>
      </c>
      <c r="E38" s="61">
        <v>26.299</v>
      </c>
      <c r="F38" s="61">
        <f>23555</f>
        <v>23555</v>
      </c>
      <c r="G38" s="61">
        <v>63.764</v>
      </c>
      <c r="H38" s="61">
        <v>554</v>
      </c>
      <c r="I38" s="61">
        <v>14.953</v>
      </c>
      <c r="J38" s="97">
        <f>783</f>
        <v>783</v>
      </c>
    </row>
    <row r="39" spans="2:10" ht="12.75">
      <c r="B39" s="102" t="s">
        <v>121</v>
      </c>
      <c r="C39" s="61" t="s">
        <v>122</v>
      </c>
      <c r="D39" s="61">
        <f>154</f>
        <v>154</v>
      </c>
      <c r="E39" s="61">
        <v>11.85</v>
      </c>
      <c r="F39" s="61">
        <f>10510</f>
        <v>10510</v>
      </c>
      <c r="G39" s="61">
        <v>30.073</v>
      </c>
      <c r="H39" s="61">
        <v>1.247</v>
      </c>
      <c r="I39" s="61">
        <v>9.304</v>
      </c>
      <c r="J39" s="97">
        <f>156</f>
        <v>156</v>
      </c>
    </row>
    <row r="40" spans="2:10" ht="12.75">
      <c r="B40" s="102" t="s">
        <v>124</v>
      </c>
      <c r="C40" s="61" t="s">
        <v>125</v>
      </c>
      <c r="D40" s="61">
        <f>292</f>
        <v>292</v>
      </c>
      <c r="E40" s="61">
        <v>50.547</v>
      </c>
      <c r="F40" s="61">
        <f>39131</f>
        <v>39131</v>
      </c>
      <c r="G40" s="61">
        <v>128.342</v>
      </c>
      <c r="H40" s="61">
        <v>171</v>
      </c>
      <c r="I40" s="61">
        <v>41.17</v>
      </c>
      <c r="J40" s="97">
        <f>2254</f>
        <v>2254</v>
      </c>
    </row>
    <row r="41" spans="2:10" ht="12.75">
      <c r="B41" s="102" t="s">
        <v>128</v>
      </c>
      <c r="C41" s="61" t="s">
        <v>129</v>
      </c>
      <c r="D41" s="61">
        <f>268</f>
        <v>268</v>
      </c>
      <c r="E41" s="61">
        <v>52.321</v>
      </c>
      <c r="F41" s="61">
        <f>41364</f>
        <v>41364</v>
      </c>
      <c r="G41" s="61">
        <v>132.637</v>
      </c>
      <c r="H41" s="61">
        <v>686</v>
      </c>
      <c r="I41" s="61">
        <v>36.466</v>
      </c>
      <c r="J41" s="97">
        <f>2093</f>
        <v>2093</v>
      </c>
    </row>
    <row r="42" spans="2:10" ht="12.75">
      <c r="B42" s="102" t="s">
        <v>132</v>
      </c>
      <c r="C42" s="61" t="s">
        <v>133</v>
      </c>
      <c r="D42" s="61">
        <f>582</f>
        <v>582</v>
      </c>
      <c r="E42" s="61">
        <v>56.45</v>
      </c>
      <c r="F42" s="61">
        <f>51837</f>
        <v>51837</v>
      </c>
      <c r="G42" s="61">
        <v>138.979</v>
      </c>
      <c r="H42" s="61">
        <v>1.808</v>
      </c>
      <c r="I42" s="61">
        <v>35.509</v>
      </c>
      <c r="J42" s="97">
        <f>1321</f>
        <v>1321</v>
      </c>
    </row>
    <row r="43" spans="2:10" ht="12.75">
      <c r="B43" s="102" t="s">
        <v>136</v>
      </c>
      <c r="C43" s="61" t="s">
        <v>137</v>
      </c>
      <c r="D43" s="61">
        <f>373</f>
        <v>373</v>
      </c>
      <c r="E43" s="61">
        <v>37.989</v>
      </c>
      <c r="F43" s="61">
        <f>34536</f>
        <v>34536</v>
      </c>
      <c r="G43" s="61">
        <v>96.197</v>
      </c>
      <c r="H43" s="61">
        <v>940</v>
      </c>
      <c r="I43" s="61">
        <v>24.079</v>
      </c>
      <c r="J43" s="97">
        <f>968</f>
        <v>968</v>
      </c>
    </row>
    <row r="44" spans="2:10" ht="12.75">
      <c r="B44" s="102"/>
      <c r="C44" s="61"/>
      <c r="D44" s="61"/>
      <c r="E44" s="61"/>
      <c r="F44" s="61"/>
      <c r="G44" s="61"/>
      <c r="H44" s="61"/>
      <c r="I44" s="61"/>
      <c r="J44" s="97"/>
    </row>
    <row r="45" spans="2:10" ht="13.5" thickBot="1">
      <c r="B45" s="103"/>
      <c r="C45" s="66" t="s">
        <v>380</v>
      </c>
      <c r="D45" s="22">
        <f>20918</f>
        <v>20918</v>
      </c>
      <c r="E45" s="67">
        <f>2789834</f>
        <v>2789834</v>
      </c>
      <c r="F45" s="22">
        <f>2495335</f>
        <v>2495335</v>
      </c>
      <c r="G45" s="22">
        <f>7447270</f>
        <v>7447270</v>
      </c>
      <c r="H45" s="67">
        <f>31601</f>
        <v>31601</v>
      </c>
      <c r="I45" s="67">
        <f>2249932</f>
        <v>2249932</v>
      </c>
      <c r="J45" s="104">
        <f>91570</f>
        <v>91570</v>
      </c>
    </row>
    <row r="46" spans="2:10" s="11" customFormat="1" ht="21" customHeight="1">
      <c r="B46" s="5" t="s">
        <v>470</v>
      </c>
      <c r="C46" s="6"/>
      <c r="D46" s="7"/>
      <c r="E46" s="105"/>
      <c r="F46" s="8">
        <f>D45</f>
        <v>20918</v>
      </c>
      <c r="G46" s="9"/>
      <c r="H46" s="9"/>
      <c r="I46" s="9"/>
      <c r="J46" s="10"/>
    </row>
    <row r="47" spans="2:10" s="11" customFormat="1" ht="15.75" thickBot="1">
      <c r="B47" s="12" t="s">
        <v>471</v>
      </c>
      <c r="C47" s="13"/>
      <c r="D47" s="14"/>
      <c r="E47" s="105"/>
      <c r="F47" s="15">
        <f>F45+G45+H45-I45</f>
        <v>7724274</v>
      </c>
      <c r="G47" s="16"/>
      <c r="H47" s="16"/>
      <c r="I47" s="16"/>
      <c r="J47" s="17"/>
    </row>
    <row r="48" spans="2:10" ht="19.5" customHeight="1">
      <c r="B48" s="141" t="s">
        <v>439</v>
      </c>
      <c r="C48" s="142"/>
      <c r="D48" s="57"/>
      <c r="E48" s="57"/>
      <c r="F48" s="57"/>
      <c r="G48" s="57"/>
      <c r="H48" s="57"/>
      <c r="I48" s="57"/>
      <c r="J48" s="106"/>
    </row>
    <row r="49" spans="2:10" ht="12.75">
      <c r="B49" s="133" t="s">
        <v>460</v>
      </c>
      <c r="C49" s="134"/>
      <c r="D49" s="134"/>
      <c r="E49" s="134"/>
      <c r="F49" s="93"/>
      <c r="G49" s="93"/>
      <c r="H49" s="93"/>
      <c r="I49" s="93"/>
      <c r="J49" s="100"/>
    </row>
    <row r="50" spans="2:10" ht="12.75">
      <c r="B50" s="133" t="s">
        <v>461</v>
      </c>
      <c r="C50" s="134"/>
      <c r="D50" s="93"/>
      <c r="E50" s="93"/>
      <c r="F50" s="93"/>
      <c r="G50" s="93"/>
      <c r="H50" s="93"/>
      <c r="I50" s="93"/>
      <c r="J50" s="100"/>
    </row>
    <row r="51" spans="2:10" ht="12.75">
      <c r="B51" s="137" t="s">
        <v>429</v>
      </c>
      <c r="C51" s="138"/>
      <c r="D51" s="138"/>
      <c r="E51" s="61"/>
      <c r="F51" s="61"/>
      <c r="G51" s="61"/>
      <c r="H51" s="61"/>
      <c r="I51" s="61"/>
      <c r="J51" s="100" t="s">
        <v>417</v>
      </c>
    </row>
    <row r="52" spans="2:10" ht="12.75">
      <c r="B52" s="137" t="s">
        <v>418</v>
      </c>
      <c r="C52" s="138"/>
      <c r="D52" s="138"/>
      <c r="E52" s="138"/>
      <c r="F52" s="61"/>
      <c r="G52" s="61"/>
      <c r="H52" s="61"/>
      <c r="I52" s="61"/>
      <c r="J52" s="97"/>
    </row>
    <row r="53" spans="2:10" ht="12.75">
      <c r="B53" s="143" t="s">
        <v>419</v>
      </c>
      <c r="C53" s="144"/>
      <c r="D53" s="144"/>
      <c r="E53" s="144"/>
      <c r="F53" s="144"/>
      <c r="G53" s="61"/>
      <c r="H53" s="61"/>
      <c r="I53" s="61"/>
      <c r="J53" s="97"/>
    </row>
    <row r="54" spans="2:10" ht="12.75">
      <c r="B54" s="137" t="s">
        <v>425</v>
      </c>
      <c r="C54" s="138"/>
      <c r="D54" s="138"/>
      <c r="E54" s="138"/>
      <c r="F54" s="138"/>
      <c r="G54" s="61"/>
      <c r="H54" s="61"/>
      <c r="I54" s="61"/>
      <c r="J54" s="97"/>
    </row>
    <row r="55" spans="2:10" ht="12.75">
      <c r="B55" s="137" t="s">
        <v>426</v>
      </c>
      <c r="C55" s="138"/>
      <c r="D55" s="61"/>
      <c r="E55" s="61"/>
      <c r="F55" s="61"/>
      <c r="G55" s="61"/>
      <c r="H55" s="61"/>
      <c r="I55" s="61"/>
      <c r="J55" s="97"/>
    </row>
    <row r="56" spans="2:10" ht="12.75">
      <c r="B56" s="98"/>
      <c r="C56" s="46"/>
      <c r="D56" s="61"/>
      <c r="E56" s="61"/>
      <c r="F56" s="61"/>
      <c r="G56" s="61"/>
      <c r="H56" s="61"/>
      <c r="I56" s="61"/>
      <c r="J56" s="97"/>
    </row>
    <row r="57" spans="2:10" ht="12.75">
      <c r="B57" s="96" t="s">
        <v>333</v>
      </c>
      <c r="C57" s="93" t="s">
        <v>334</v>
      </c>
      <c r="D57" s="139" t="s">
        <v>463</v>
      </c>
      <c r="E57" s="139"/>
      <c r="F57" s="139"/>
      <c r="G57" s="57" t="s">
        <v>381</v>
      </c>
      <c r="H57" s="139" t="s">
        <v>432</v>
      </c>
      <c r="I57" s="139"/>
      <c r="J57" s="140"/>
    </row>
    <row r="58" spans="2:10" ht="12.75">
      <c r="B58" s="98"/>
      <c r="C58" s="91" t="s">
        <v>342</v>
      </c>
      <c r="D58" s="92" t="s">
        <v>433</v>
      </c>
      <c r="E58" s="92" t="s">
        <v>434</v>
      </c>
      <c r="F58" s="92" t="s">
        <v>464</v>
      </c>
      <c r="G58" s="91" t="s">
        <v>382</v>
      </c>
      <c r="H58" s="92" t="s">
        <v>465</v>
      </c>
      <c r="I58" s="92" t="s">
        <v>466</v>
      </c>
      <c r="J58" s="108" t="s">
        <v>467</v>
      </c>
    </row>
    <row r="59" spans="2:10" ht="12.75">
      <c r="B59" s="96" t="s">
        <v>411</v>
      </c>
      <c r="C59" s="61"/>
      <c r="D59" s="61"/>
      <c r="E59" s="61"/>
      <c r="F59" s="61"/>
      <c r="G59" s="61"/>
      <c r="H59" s="61"/>
      <c r="I59" s="61"/>
      <c r="J59" s="97"/>
    </row>
    <row r="60" spans="2:10" ht="12.75">
      <c r="B60" s="102" t="s">
        <v>20</v>
      </c>
      <c r="C60" s="61" t="s">
        <v>21</v>
      </c>
      <c r="D60" s="61">
        <v>1.022</v>
      </c>
      <c r="E60" s="61">
        <v>22.119</v>
      </c>
      <c r="F60" s="61">
        <v>23.141</v>
      </c>
      <c r="G60" s="61">
        <v>8.611</v>
      </c>
      <c r="H60" s="61">
        <v>8.259</v>
      </c>
      <c r="I60" s="61">
        <v>161</v>
      </c>
      <c r="J60" s="97">
        <v>8.42</v>
      </c>
    </row>
    <row r="61" spans="2:10" ht="12.75">
      <c r="B61" s="102" t="s">
        <v>24</v>
      </c>
      <c r="C61" s="61" t="s">
        <v>25</v>
      </c>
      <c r="D61" s="61">
        <v>2.225</v>
      </c>
      <c r="E61" s="61">
        <v>55.956</v>
      </c>
      <c r="F61" s="61">
        <v>58.181</v>
      </c>
      <c r="G61" s="61">
        <v>27.047</v>
      </c>
      <c r="H61" s="61">
        <v>26.615</v>
      </c>
      <c r="I61" s="61">
        <v>206</v>
      </c>
      <c r="J61" s="97">
        <v>26.821</v>
      </c>
    </row>
    <row r="62" spans="2:10" ht="12.75">
      <c r="B62" s="102" t="s">
        <v>29</v>
      </c>
      <c r="C62" s="61" t="s">
        <v>30</v>
      </c>
      <c r="D62" s="61">
        <v>533</v>
      </c>
      <c r="E62" s="61">
        <v>10.615</v>
      </c>
      <c r="F62" s="61">
        <v>11.148</v>
      </c>
      <c r="G62" s="61">
        <v>5.938</v>
      </c>
      <c r="H62" s="61">
        <v>6.05</v>
      </c>
      <c r="I62" s="61">
        <v>118</v>
      </c>
      <c r="J62" s="97">
        <v>6.168</v>
      </c>
    </row>
    <row r="63" spans="2:10" ht="12.75">
      <c r="B63" s="102" t="s">
        <v>33</v>
      </c>
      <c r="C63" s="61" t="s">
        <v>34</v>
      </c>
      <c r="D63" s="61">
        <v>2.659</v>
      </c>
      <c r="E63" s="61">
        <v>64.699</v>
      </c>
      <c r="F63" s="61">
        <v>67.358</v>
      </c>
      <c r="G63" s="61">
        <v>28.326</v>
      </c>
      <c r="H63" s="61">
        <v>28.281</v>
      </c>
      <c r="I63" s="61">
        <v>208</v>
      </c>
      <c r="J63" s="97">
        <v>28.489</v>
      </c>
    </row>
    <row r="64" spans="2:10" ht="12.75">
      <c r="B64" s="102" t="s">
        <v>37</v>
      </c>
      <c r="C64" s="61" t="s">
        <v>38</v>
      </c>
      <c r="D64" s="61">
        <v>424</v>
      </c>
      <c r="E64" s="61">
        <v>10.133</v>
      </c>
      <c r="F64" s="61">
        <v>10.557</v>
      </c>
      <c r="G64" s="61">
        <v>3.615</v>
      </c>
      <c r="H64" s="61">
        <v>3.622</v>
      </c>
      <c r="I64" s="61">
        <v>50</v>
      </c>
      <c r="J64" s="97">
        <v>3.672</v>
      </c>
    </row>
    <row r="65" spans="2:10" ht="12.75">
      <c r="B65" s="102" t="s">
        <v>41</v>
      </c>
      <c r="C65" s="61" t="s">
        <v>42</v>
      </c>
      <c r="D65" s="61">
        <v>2.895</v>
      </c>
      <c r="E65" s="61">
        <v>67.973</v>
      </c>
      <c r="F65" s="61">
        <v>70.868</v>
      </c>
      <c r="G65" s="61">
        <v>26.486</v>
      </c>
      <c r="H65" s="61">
        <v>25.072</v>
      </c>
      <c r="I65" s="61">
        <v>896</v>
      </c>
      <c r="J65" s="97">
        <v>25.968</v>
      </c>
    </row>
    <row r="66" spans="2:10" ht="12.75">
      <c r="B66" s="96" t="s">
        <v>412</v>
      </c>
      <c r="C66" s="61"/>
      <c r="D66" s="61"/>
      <c r="E66" s="61"/>
      <c r="F66" s="61"/>
      <c r="G66" s="61"/>
      <c r="H66" s="61"/>
      <c r="I66" s="61"/>
      <c r="J66" s="97"/>
    </row>
    <row r="67" spans="2:10" ht="12.75">
      <c r="B67" s="102" t="s">
        <v>45</v>
      </c>
      <c r="C67" s="61" t="s">
        <v>46</v>
      </c>
      <c r="D67" s="61">
        <v>519</v>
      </c>
      <c r="E67" s="61">
        <v>10.715</v>
      </c>
      <c r="F67" s="61">
        <v>11.234</v>
      </c>
      <c r="G67" s="61">
        <v>4.579</v>
      </c>
      <c r="H67" s="61">
        <v>4.219</v>
      </c>
      <c r="I67" s="61">
        <v>14</v>
      </c>
      <c r="J67" s="97">
        <v>4.233</v>
      </c>
    </row>
    <row r="68" spans="2:10" ht="12.75">
      <c r="B68" s="102" t="s">
        <v>49</v>
      </c>
      <c r="C68" s="61" t="s">
        <v>50</v>
      </c>
      <c r="D68" s="61">
        <v>1.698</v>
      </c>
      <c r="E68" s="61">
        <v>33.999</v>
      </c>
      <c r="F68" s="61">
        <v>35.697</v>
      </c>
      <c r="G68" s="61">
        <v>15.362</v>
      </c>
      <c r="H68" s="61">
        <v>15.225</v>
      </c>
      <c r="I68" s="61">
        <v>124</v>
      </c>
      <c r="J68" s="97">
        <v>15.349</v>
      </c>
    </row>
    <row r="69" spans="2:10" ht="12.75">
      <c r="B69" s="102" t="s">
        <v>53</v>
      </c>
      <c r="C69" s="61" t="s">
        <v>54</v>
      </c>
      <c r="D69" s="61">
        <v>454</v>
      </c>
      <c r="E69" s="61">
        <v>12.708</v>
      </c>
      <c r="F69" s="61">
        <v>13.162</v>
      </c>
      <c r="G69" s="61">
        <v>5.019</v>
      </c>
      <c r="H69" s="61">
        <v>4.892</v>
      </c>
      <c r="I69" s="61">
        <v>43</v>
      </c>
      <c r="J69" s="97">
        <v>4.935</v>
      </c>
    </row>
    <row r="70" spans="2:10" ht="12.75">
      <c r="B70" s="102" t="s">
        <v>57</v>
      </c>
      <c r="C70" s="61" t="s">
        <v>58</v>
      </c>
      <c r="D70" s="61">
        <v>539</v>
      </c>
      <c r="E70" s="61">
        <v>11.115</v>
      </c>
      <c r="F70" s="61">
        <v>11.654</v>
      </c>
      <c r="G70" s="61">
        <v>5.221</v>
      </c>
      <c r="H70" s="61">
        <v>4.323</v>
      </c>
      <c r="I70" s="61">
        <v>451</v>
      </c>
      <c r="J70" s="97">
        <v>4.774</v>
      </c>
    </row>
    <row r="71" spans="2:10" ht="12.75">
      <c r="B71" s="102" t="s">
        <v>61</v>
      </c>
      <c r="C71" s="61" t="s">
        <v>62</v>
      </c>
      <c r="D71" s="61">
        <v>335</v>
      </c>
      <c r="E71" s="61">
        <v>5.223</v>
      </c>
      <c r="F71" s="61">
        <v>5.558</v>
      </c>
      <c r="G71" s="61">
        <v>2.819</v>
      </c>
      <c r="H71" s="61">
        <v>2.949</v>
      </c>
      <c r="I71" s="61">
        <v>47</v>
      </c>
      <c r="J71" s="97">
        <v>2.996</v>
      </c>
    </row>
    <row r="72" spans="2:10" ht="12.75">
      <c r="B72" s="102" t="s">
        <v>65</v>
      </c>
      <c r="C72" s="61" t="s">
        <v>66</v>
      </c>
      <c r="D72" s="61">
        <v>729</v>
      </c>
      <c r="E72" s="61">
        <v>13.599</v>
      </c>
      <c r="F72" s="61">
        <v>14.328</v>
      </c>
      <c r="G72" s="61">
        <v>6.175</v>
      </c>
      <c r="H72" s="61">
        <v>5.398</v>
      </c>
      <c r="I72" s="61">
        <v>53</v>
      </c>
      <c r="J72" s="97">
        <v>5.451</v>
      </c>
    </row>
    <row r="73" spans="2:10" ht="12.75">
      <c r="B73" s="102" t="s">
        <v>69</v>
      </c>
      <c r="C73" s="61" t="s">
        <v>70</v>
      </c>
      <c r="D73" s="61">
        <v>125</v>
      </c>
      <c r="E73" s="61">
        <v>1.64</v>
      </c>
      <c r="F73" s="61">
        <v>1.765</v>
      </c>
      <c r="G73" s="61">
        <v>984</v>
      </c>
      <c r="H73" s="61">
        <v>962</v>
      </c>
      <c r="I73" s="61">
        <v>27</v>
      </c>
      <c r="J73" s="97">
        <v>989</v>
      </c>
    </row>
    <row r="74" spans="2:10" ht="12.75">
      <c r="B74" s="102" t="s">
        <v>73</v>
      </c>
      <c r="C74" s="61" t="s">
        <v>74</v>
      </c>
      <c r="D74" s="61">
        <v>204</v>
      </c>
      <c r="E74" s="61">
        <v>4.152</v>
      </c>
      <c r="F74" s="61">
        <v>4.356</v>
      </c>
      <c r="G74" s="61">
        <v>1.901</v>
      </c>
      <c r="H74" s="61">
        <v>1.975</v>
      </c>
      <c r="I74" s="61">
        <v>10</v>
      </c>
      <c r="J74" s="97">
        <v>1.985</v>
      </c>
    </row>
    <row r="75" spans="2:10" ht="12.75">
      <c r="B75" s="102" t="s">
        <v>77</v>
      </c>
      <c r="C75" s="61" t="s">
        <v>78</v>
      </c>
      <c r="D75" s="61">
        <v>914</v>
      </c>
      <c r="E75" s="61">
        <v>17.304</v>
      </c>
      <c r="F75" s="61">
        <v>18.218</v>
      </c>
      <c r="G75" s="61">
        <v>6.841</v>
      </c>
      <c r="H75" s="61">
        <v>6.547</v>
      </c>
      <c r="I75" s="61">
        <v>79</v>
      </c>
      <c r="J75" s="97">
        <v>6.626</v>
      </c>
    </row>
    <row r="76" spans="2:10" ht="12.75">
      <c r="B76" s="96" t="s">
        <v>416</v>
      </c>
      <c r="C76" s="61"/>
      <c r="D76" s="61"/>
      <c r="E76" s="61"/>
      <c r="F76" s="61"/>
      <c r="G76" s="61"/>
      <c r="H76" s="61"/>
      <c r="I76" s="61"/>
      <c r="J76" s="97"/>
    </row>
    <row r="77" spans="2:10" ht="12.75">
      <c r="B77" s="102" t="s">
        <v>81</v>
      </c>
      <c r="C77" s="61" t="s">
        <v>82</v>
      </c>
      <c r="D77" s="61">
        <v>581</v>
      </c>
      <c r="E77" s="61">
        <v>9.902</v>
      </c>
      <c r="F77" s="61">
        <v>10.483</v>
      </c>
      <c r="G77" s="61">
        <v>4.252</v>
      </c>
      <c r="H77" s="61">
        <v>4.264</v>
      </c>
      <c r="I77" s="61">
        <v>42</v>
      </c>
      <c r="J77" s="97">
        <v>4.306</v>
      </c>
    </row>
    <row r="78" spans="2:10" ht="12.75">
      <c r="B78" s="102" t="s">
        <v>85</v>
      </c>
      <c r="C78" s="61" t="s">
        <v>86</v>
      </c>
      <c r="D78" s="61">
        <v>289</v>
      </c>
      <c r="E78" s="61">
        <v>2.819</v>
      </c>
      <c r="F78" s="61">
        <v>3.108</v>
      </c>
      <c r="G78" s="61">
        <v>1.5</v>
      </c>
      <c r="H78" s="61">
        <v>1.557</v>
      </c>
      <c r="I78" s="61">
        <v>21</v>
      </c>
      <c r="J78" s="97">
        <v>1.578</v>
      </c>
    </row>
    <row r="79" spans="2:10" ht="12.75">
      <c r="B79" s="102" t="s">
        <v>89</v>
      </c>
      <c r="C79" s="61" t="s">
        <v>90</v>
      </c>
      <c r="D79" s="61">
        <v>331</v>
      </c>
      <c r="E79" s="61">
        <v>6.877</v>
      </c>
      <c r="F79" s="61">
        <v>7.208</v>
      </c>
      <c r="G79" s="61">
        <v>2.449</v>
      </c>
      <c r="H79" s="61">
        <v>2.533</v>
      </c>
      <c r="I79" s="61">
        <v>13</v>
      </c>
      <c r="J79" s="97">
        <v>2.546</v>
      </c>
    </row>
    <row r="80" spans="2:10" ht="12.75">
      <c r="B80" s="102" t="s">
        <v>93</v>
      </c>
      <c r="C80" s="61" t="s">
        <v>94</v>
      </c>
      <c r="D80" s="61">
        <v>385</v>
      </c>
      <c r="E80" s="61">
        <v>6.681</v>
      </c>
      <c r="F80" s="61">
        <v>7.066</v>
      </c>
      <c r="G80" s="61">
        <v>2.861</v>
      </c>
      <c r="H80" s="61">
        <v>2.932</v>
      </c>
      <c r="I80" s="61">
        <v>7</v>
      </c>
      <c r="J80" s="97">
        <v>2.939</v>
      </c>
    </row>
    <row r="81" spans="2:10" ht="12.75">
      <c r="B81" s="96" t="s">
        <v>414</v>
      </c>
      <c r="C81" s="61"/>
      <c r="D81" s="61"/>
      <c r="E81" s="61"/>
      <c r="F81" s="61"/>
      <c r="G81" s="61"/>
      <c r="H81" s="61"/>
      <c r="I81" s="61"/>
      <c r="J81" s="97"/>
    </row>
    <row r="82" spans="2:10" ht="12.75">
      <c r="B82" s="102" t="s">
        <v>98</v>
      </c>
      <c r="C82" s="61" t="s">
        <v>99</v>
      </c>
      <c r="D82" s="61">
        <v>478</v>
      </c>
      <c r="E82" s="61">
        <v>6.637</v>
      </c>
      <c r="F82" s="61">
        <v>7.115</v>
      </c>
      <c r="G82" s="61">
        <v>2.946</v>
      </c>
      <c r="H82" s="61">
        <v>2.658</v>
      </c>
      <c r="I82" s="61">
        <v>62</v>
      </c>
      <c r="J82" s="97">
        <v>2.72</v>
      </c>
    </row>
    <row r="83" spans="2:10" ht="12.75">
      <c r="B83" s="102" t="s">
        <v>102</v>
      </c>
      <c r="C83" s="61" t="s">
        <v>103</v>
      </c>
      <c r="D83" s="61">
        <v>92</v>
      </c>
      <c r="E83" s="61">
        <v>2.024</v>
      </c>
      <c r="F83" s="61">
        <v>2.116</v>
      </c>
      <c r="G83" s="61">
        <v>877</v>
      </c>
      <c r="H83" s="61">
        <v>865</v>
      </c>
      <c r="I83" s="61" t="s">
        <v>423</v>
      </c>
      <c r="J83" s="97">
        <v>865</v>
      </c>
    </row>
    <row r="84" spans="2:10" ht="12.75">
      <c r="B84" s="102" t="s">
        <v>106</v>
      </c>
      <c r="C84" s="61" t="s">
        <v>107</v>
      </c>
      <c r="D84" s="61">
        <v>313</v>
      </c>
      <c r="E84" s="61">
        <v>4.749</v>
      </c>
      <c r="F84" s="61">
        <v>5.062</v>
      </c>
      <c r="G84" s="61">
        <v>2.299</v>
      </c>
      <c r="H84" s="61">
        <v>2.364</v>
      </c>
      <c r="I84" s="61">
        <v>27</v>
      </c>
      <c r="J84" s="97">
        <v>2.391</v>
      </c>
    </row>
    <row r="85" spans="2:10" ht="12.75">
      <c r="B85" s="102" t="s">
        <v>110</v>
      </c>
      <c r="C85" s="61" t="s">
        <v>111</v>
      </c>
      <c r="D85" s="61">
        <v>936</v>
      </c>
      <c r="E85" s="61">
        <v>19.775</v>
      </c>
      <c r="F85" s="61">
        <v>20.711</v>
      </c>
      <c r="G85" s="61">
        <v>9.266</v>
      </c>
      <c r="H85" s="61">
        <v>8.97</v>
      </c>
      <c r="I85" s="61">
        <v>152</v>
      </c>
      <c r="J85" s="97">
        <v>9.122</v>
      </c>
    </row>
    <row r="86" spans="2:10" ht="12.75">
      <c r="B86" s="102" t="s">
        <v>114</v>
      </c>
      <c r="C86" s="61" t="s">
        <v>115</v>
      </c>
      <c r="D86" s="61">
        <v>260</v>
      </c>
      <c r="E86" s="61">
        <v>5.806</v>
      </c>
      <c r="F86" s="61">
        <v>6.066</v>
      </c>
      <c r="G86" s="61">
        <v>2.805</v>
      </c>
      <c r="H86" s="61">
        <v>2.544</v>
      </c>
      <c r="I86" s="61">
        <v>5</v>
      </c>
      <c r="J86" s="97">
        <v>2.549</v>
      </c>
    </row>
    <row r="87" spans="2:10" ht="12.75">
      <c r="B87" s="96" t="s">
        <v>415</v>
      </c>
      <c r="C87" s="61"/>
      <c r="D87" s="61"/>
      <c r="E87" s="61"/>
      <c r="F87" s="61"/>
      <c r="G87" s="61"/>
      <c r="H87" s="61"/>
      <c r="I87" s="61"/>
      <c r="J87" s="97"/>
    </row>
    <row r="88" spans="2:10" ht="12.75">
      <c r="B88" s="102" t="s">
        <v>117</v>
      </c>
      <c r="C88" s="61" t="s">
        <v>118</v>
      </c>
      <c r="D88" s="61">
        <v>309</v>
      </c>
      <c r="E88" s="61">
        <v>6.209</v>
      </c>
      <c r="F88" s="61">
        <v>6.518</v>
      </c>
      <c r="G88" s="61">
        <v>2.043</v>
      </c>
      <c r="H88" s="61">
        <v>1.389</v>
      </c>
      <c r="I88" s="61">
        <v>574</v>
      </c>
      <c r="J88" s="97">
        <v>1.963</v>
      </c>
    </row>
    <row r="89" spans="2:10" ht="12.75">
      <c r="B89" s="102" t="s">
        <v>121</v>
      </c>
      <c r="C89" s="61" t="s">
        <v>122</v>
      </c>
      <c r="D89" s="61">
        <v>154</v>
      </c>
      <c r="E89" s="61">
        <v>1.873</v>
      </c>
      <c r="F89" s="61">
        <v>2.027</v>
      </c>
      <c r="G89" s="61">
        <v>1.111</v>
      </c>
      <c r="H89" s="61">
        <v>1.027</v>
      </c>
      <c r="I89" s="61">
        <v>55</v>
      </c>
      <c r="J89" s="97">
        <v>1.082</v>
      </c>
    </row>
    <row r="90" spans="2:10" ht="12.75">
      <c r="B90" s="102" t="s">
        <v>124</v>
      </c>
      <c r="C90" s="61" t="s">
        <v>125</v>
      </c>
      <c r="D90" s="61">
        <v>292</v>
      </c>
      <c r="E90" s="61">
        <v>9.439</v>
      </c>
      <c r="F90" s="61">
        <v>9.731</v>
      </c>
      <c r="G90" s="61">
        <v>3.288</v>
      </c>
      <c r="H90" s="61">
        <v>3.018</v>
      </c>
      <c r="I90" s="61">
        <v>101</v>
      </c>
      <c r="J90" s="97">
        <v>3.119</v>
      </c>
    </row>
    <row r="91" spans="2:10" ht="12.75">
      <c r="B91" s="102" t="s">
        <v>128</v>
      </c>
      <c r="C91" s="61" t="s">
        <v>129</v>
      </c>
      <c r="D91" s="61">
        <v>268</v>
      </c>
      <c r="E91" s="61">
        <v>7.67</v>
      </c>
      <c r="F91" s="61">
        <v>7.938</v>
      </c>
      <c r="G91" s="61">
        <v>3.377</v>
      </c>
      <c r="H91" s="61">
        <v>2.678</v>
      </c>
      <c r="I91" s="61">
        <v>14</v>
      </c>
      <c r="J91" s="97">
        <v>2.692</v>
      </c>
    </row>
    <row r="92" spans="2:10" ht="12.75">
      <c r="B92" s="102" t="s">
        <v>132</v>
      </c>
      <c r="C92" s="61" t="s">
        <v>133</v>
      </c>
      <c r="D92" s="61">
        <v>582</v>
      </c>
      <c r="E92" s="61">
        <v>8.307</v>
      </c>
      <c r="F92" s="61">
        <v>8.889</v>
      </c>
      <c r="G92" s="61">
        <v>3.493</v>
      </c>
      <c r="H92" s="61">
        <v>3.598</v>
      </c>
      <c r="I92" s="61">
        <v>75</v>
      </c>
      <c r="J92" s="97">
        <v>3.673</v>
      </c>
    </row>
    <row r="93" spans="2:10" ht="12.75">
      <c r="B93" s="102" t="s">
        <v>136</v>
      </c>
      <c r="C93" s="61" t="s">
        <v>137</v>
      </c>
      <c r="D93" s="61">
        <v>373</v>
      </c>
      <c r="E93" s="61">
        <v>5.112</v>
      </c>
      <c r="F93" s="61">
        <v>5.485</v>
      </c>
      <c r="G93" s="61">
        <v>2.711</v>
      </c>
      <c r="H93" s="61">
        <v>2.694</v>
      </c>
      <c r="I93" s="61">
        <v>23</v>
      </c>
      <c r="J93" s="97">
        <v>2.717</v>
      </c>
    </row>
    <row r="94" spans="2:10" ht="12.75">
      <c r="B94" s="102"/>
      <c r="C94" s="61"/>
      <c r="D94" s="61"/>
      <c r="E94" s="61"/>
      <c r="F94" s="61"/>
      <c r="G94" s="61"/>
      <c r="H94" s="61"/>
      <c r="I94" s="61"/>
      <c r="J94" s="97"/>
    </row>
    <row r="95" spans="2:10" ht="13.5" thickBot="1">
      <c r="B95" s="103"/>
      <c r="C95" s="66" t="s">
        <v>380</v>
      </c>
      <c r="D95" s="66">
        <f>20918</f>
        <v>20918</v>
      </c>
      <c r="E95" s="66">
        <f>445830</f>
        <v>445830</v>
      </c>
      <c r="F95" s="66">
        <f>466748</f>
        <v>466748</v>
      </c>
      <c r="G95" s="66">
        <f>194202</f>
        <v>194202</v>
      </c>
      <c r="H95" s="66">
        <f>187480</f>
        <v>187480</v>
      </c>
      <c r="I95" s="66">
        <f>3658</f>
        <v>3658</v>
      </c>
      <c r="J95" s="107">
        <f>191138</f>
        <v>191138</v>
      </c>
    </row>
    <row r="96" spans="2:10" s="11" customFormat="1" ht="15">
      <c r="B96" s="82" t="s">
        <v>472</v>
      </c>
      <c r="C96" s="83"/>
      <c r="D96" s="84"/>
      <c r="E96" s="72"/>
      <c r="F96" s="85">
        <f>D95</f>
        <v>20918</v>
      </c>
      <c r="G96" s="86"/>
      <c r="H96" s="86"/>
      <c r="I96" s="86"/>
      <c r="J96" s="87"/>
    </row>
    <row r="97" spans="2:10" s="11" customFormat="1" ht="15.75" thickBot="1">
      <c r="B97" s="12" t="s">
        <v>473</v>
      </c>
      <c r="C97" s="13"/>
      <c r="D97" s="14"/>
      <c r="E97" s="73"/>
      <c r="F97" s="15">
        <f>E95</f>
        <v>445830</v>
      </c>
      <c r="G97" s="16"/>
      <c r="H97" s="16"/>
      <c r="I97" s="16"/>
      <c r="J97" s="17"/>
    </row>
    <row r="98" spans="2:10" ht="21.75" customHeight="1">
      <c r="B98" s="141" t="s">
        <v>439</v>
      </c>
      <c r="C98" s="142"/>
      <c r="D98" s="93"/>
      <c r="E98" s="93"/>
      <c r="F98" s="93"/>
      <c r="G98" s="93"/>
      <c r="H98" s="93"/>
      <c r="I98" s="93"/>
      <c r="J98" s="100"/>
    </row>
    <row r="99" spans="2:10" ht="12.75">
      <c r="B99" s="133" t="s">
        <v>468</v>
      </c>
      <c r="C99" s="134"/>
      <c r="D99" s="134"/>
      <c r="E99" s="93"/>
      <c r="F99" s="93"/>
      <c r="G99" s="93"/>
      <c r="H99" s="93"/>
      <c r="I99" s="93"/>
      <c r="J99" s="100"/>
    </row>
    <row r="100" spans="2:10" ht="13.5" thickBot="1">
      <c r="B100" s="135" t="s">
        <v>469</v>
      </c>
      <c r="C100" s="136"/>
      <c r="D100" s="136"/>
      <c r="E100" s="136"/>
      <c r="F100" s="109"/>
      <c r="G100" s="109"/>
      <c r="H100" s="109"/>
      <c r="I100" s="109"/>
      <c r="J100" s="110"/>
    </row>
  </sheetData>
  <mergeCells count="18">
    <mergeCell ref="B1:C1"/>
    <mergeCell ref="B2:E2"/>
    <mergeCell ref="B3:F3"/>
    <mergeCell ref="B4:G4"/>
    <mergeCell ref="B5:C5"/>
    <mergeCell ref="B48:C48"/>
    <mergeCell ref="B49:E49"/>
    <mergeCell ref="B50:C50"/>
    <mergeCell ref="H57:J57"/>
    <mergeCell ref="B98:C98"/>
    <mergeCell ref="B51:D51"/>
    <mergeCell ref="B52:E52"/>
    <mergeCell ref="B53:F53"/>
    <mergeCell ref="B54:F54"/>
    <mergeCell ref="B99:D99"/>
    <mergeCell ref="B100:E100"/>
    <mergeCell ref="B55:C55"/>
    <mergeCell ref="D57:F5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0"/>
  <sheetViews>
    <sheetView workbookViewId="0" topLeftCell="A1">
      <selection activeCell="A14" sqref="A14"/>
    </sheetView>
  </sheetViews>
  <sheetFormatPr defaultColWidth="9.140625" defaultRowHeight="12.75"/>
  <cols>
    <col min="1" max="1" width="3.28125" style="2" customWidth="1"/>
    <col min="2" max="2" width="9.140625" style="2" customWidth="1"/>
    <col min="3" max="3" width="20.00390625" style="2" bestFit="1" customWidth="1"/>
    <col min="4" max="4" width="12.7109375" style="2" bestFit="1" customWidth="1"/>
    <col min="5" max="5" width="12.8515625" style="2" bestFit="1" customWidth="1"/>
    <col min="6" max="7" width="10.00390625" style="2" bestFit="1" customWidth="1"/>
    <col min="8" max="8" width="13.28125" style="2" bestFit="1" customWidth="1"/>
    <col min="9" max="9" width="13.7109375" style="2" bestFit="1" customWidth="1"/>
    <col min="10" max="10" width="9.57421875" style="2" bestFit="1" customWidth="1"/>
    <col min="11" max="16384" width="9.140625" style="2" customWidth="1"/>
  </cols>
  <sheetData>
    <row r="1" spans="2:10" ht="12.75">
      <c r="B1" s="148" t="s">
        <v>424</v>
      </c>
      <c r="C1" s="149"/>
      <c r="J1" s="43" t="s">
        <v>0</v>
      </c>
    </row>
    <row r="2" spans="2:10" ht="12.75">
      <c r="B2" s="148" t="s">
        <v>1</v>
      </c>
      <c r="C2" s="149"/>
      <c r="D2" s="149"/>
      <c r="E2" s="149"/>
      <c r="J2" s="44"/>
    </row>
    <row r="3" spans="2:10" ht="12.75">
      <c r="B3" s="150" t="s">
        <v>2</v>
      </c>
      <c r="C3" s="151"/>
      <c r="D3" s="151"/>
      <c r="E3" s="151"/>
      <c r="F3" s="151"/>
      <c r="G3" s="151"/>
      <c r="J3" s="44"/>
    </row>
    <row r="4" spans="2:10" ht="12.75">
      <c r="B4" s="148" t="s">
        <v>443</v>
      </c>
      <c r="C4" s="149"/>
      <c r="D4" s="149"/>
      <c r="E4" s="149"/>
      <c r="F4" s="149"/>
      <c r="G4" s="149"/>
      <c r="J4" s="44"/>
    </row>
    <row r="5" spans="2:10" ht="12.75">
      <c r="B5" s="148" t="s">
        <v>442</v>
      </c>
      <c r="C5" s="149"/>
      <c r="J5" s="44"/>
    </row>
    <row r="6" spans="2:10" ht="12.75">
      <c r="B6" s="45"/>
      <c r="C6" s="46"/>
      <c r="D6" s="46"/>
      <c r="E6" s="46"/>
      <c r="F6" s="46"/>
      <c r="G6" s="46"/>
      <c r="H6" s="46"/>
      <c r="I6" s="46"/>
      <c r="J6" s="47"/>
    </row>
    <row r="7" spans="2:10" ht="12.75">
      <c r="B7" s="48" t="s">
        <v>3</v>
      </c>
      <c r="C7" s="49" t="s">
        <v>4</v>
      </c>
      <c r="D7" s="49" t="s">
        <v>5</v>
      </c>
      <c r="E7" s="49" t="s">
        <v>6</v>
      </c>
      <c r="F7" s="49" t="s">
        <v>7</v>
      </c>
      <c r="G7" s="49" t="s">
        <v>8</v>
      </c>
      <c r="H7" s="49" t="s">
        <v>9</v>
      </c>
      <c r="I7" s="49" t="s">
        <v>10</v>
      </c>
      <c r="J7" s="50" t="s">
        <v>11</v>
      </c>
    </row>
    <row r="8" spans="2:10" ht="12.75">
      <c r="B8" s="51"/>
      <c r="C8" s="52" t="s">
        <v>12</v>
      </c>
      <c r="D8" s="52" t="s">
        <v>13</v>
      </c>
      <c r="E8" s="52" t="s">
        <v>14</v>
      </c>
      <c r="F8" s="52" t="s">
        <v>15</v>
      </c>
      <c r="G8" s="52" t="s">
        <v>16</v>
      </c>
      <c r="H8" s="52" t="s">
        <v>17</v>
      </c>
      <c r="I8" s="52" t="s">
        <v>18</v>
      </c>
      <c r="J8" s="53" t="s">
        <v>19</v>
      </c>
    </row>
    <row r="9" spans="2:10" ht="12.75">
      <c r="B9" s="41" t="s">
        <v>411</v>
      </c>
      <c r="J9" s="44"/>
    </row>
    <row r="10" spans="2:10" ht="12.75">
      <c r="B10" s="54" t="s">
        <v>20</v>
      </c>
      <c r="C10" s="2" t="s">
        <v>21</v>
      </c>
      <c r="D10" s="2">
        <f>485</f>
        <v>485</v>
      </c>
      <c r="E10" s="2">
        <f>108346</f>
        <v>108346</v>
      </c>
      <c r="F10" s="2">
        <f>69157</f>
        <v>69157</v>
      </c>
      <c r="G10" s="2">
        <f>212334</f>
        <v>212334</v>
      </c>
      <c r="H10" s="2">
        <f>1381</f>
        <v>1381</v>
      </c>
      <c r="I10" s="2" t="s">
        <v>22</v>
      </c>
      <c r="J10" s="44" t="s">
        <v>23</v>
      </c>
    </row>
    <row r="11" spans="2:10" ht="12.75">
      <c r="B11" s="54" t="s">
        <v>24</v>
      </c>
      <c r="C11" s="2" t="s">
        <v>25</v>
      </c>
      <c r="D11" s="2">
        <v>931</v>
      </c>
      <c r="E11" s="2">
        <v>200957</v>
      </c>
      <c r="F11" s="2">
        <f>145910</f>
        <v>145910</v>
      </c>
      <c r="G11" s="2">
        <f>413818</f>
        <v>413818</v>
      </c>
      <c r="H11" s="2">
        <f>1019</f>
        <v>1019</v>
      </c>
      <c r="I11" s="2" t="s">
        <v>27</v>
      </c>
      <c r="J11" s="44" t="s">
        <v>28</v>
      </c>
    </row>
    <row r="12" spans="2:10" ht="12.75">
      <c r="B12" s="54" t="s">
        <v>29</v>
      </c>
      <c r="C12" s="2" t="s">
        <v>30</v>
      </c>
      <c r="D12" s="2">
        <v>193</v>
      </c>
      <c r="E12" s="2">
        <f>37506</f>
        <v>37506</v>
      </c>
      <c r="F12" s="2">
        <f>30543</f>
        <v>30543</v>
      </c>
      <c r="G12" s="2">
        <f>83003</f>
        <v>83003</v>
      </c>
      <c r="H12" s="2">
        <f>140</f>
        <v>140</v>
      </c>
      <c r="I12" s="2" t="s">
        <v>31</v>
      </c>
      <c r="J12" s="44" t="s">
        <v>32</v>
      </c>
    </row>
    <row r="13" spans="2:10" ht="12.75">
      <c r="B13" s="54" t="s">
        <v>33</v>
      </c>
      <c r="C13" s="2" t="s">
        <v>34</v>
      </c>
      <c r="D13" s="2">
        <v>848</v>
      </c>
      <c r="E13" s="2">
        <f>193389</f>
        <v>193389</v>
      </c>
      <c r="F13" s="2">
        <f>141096</f>
        <v>141096</v>
      </c>
      <c r="G13" s="2">
        <f>406639</f>
        <v>406639</v>
      </c>
      <c r="H13" s="2">
        <f>1013</f>
        <v>1013</v>
      </c>
      <c r="I13" s="2" t="s">
        <v>35</v>
      </c>
      <c r="J13" s="44" t="s">
        <v>36</v>
      </c>
    </row>
    <row r="14" spans="2:10" ht="12.75">
      <c r="B14" s="54" t="s">
        <v>37</v>
      </c>
      <c r="C14" s="2" t="s">
        <v>38</v>
      </c>
      <c r="D14" s="2">
        <v>193</v>
      </c>
      <c r="E14" s="2">
        <f>30690</f>
        <v>30690</v>
      </c>
      <c r="F14" s="2">
        <f>24321</f>
        <v>24321</v>
      </c>
      <c r="G14" s="2">
        <f>70361</f>
        <v>70361</v>
      </c>
      <c r="H14" s="2">
        <f>230</f>
        <v>230</v>
      </c>
      <c r="I14" s="2" t="s">
        <v>39</v>
      </c>
      <c r="J14" s="44" t="s">
        <v>40</v>
      </c>
    </row>
    <row r="15" spans="2:10" ht="12.75">
      <c r="B15" s="54" t="s">
        <v>41</v>
      </c>
      <c r="C15" s="2" t="s">
        <v>42</v>
      </c>
      <c r="D15" s="2">
        <v>1051</v>
      </c>
      <c r="E15" s="2">
        <f>201719</f>
        <v>201719</v>
      </c>
      <c r="F15" s="2">
        <f>149193</f>
        <v>149193</v>
      </c>
      <c r="G15" s="2">
        <f>425963</f>
        <v>425963</v>
      </c>
      <c r="H15" s="2">
        <f>1479</f>
        <v>1479</v>
      </c>
      <c r="I15" s="2" t="s">
        <v>43</v>
      </c>
      <c r="J15" s="44" t="s">
        <v>44</v>
      </c>
    </row>
    <row r="16" spans="2:10" ht="12.75">
      <c r="B16" s="41" t="s">
        <v>412</v>
      </c>
      <c r="J16" s="44"/>
    </row>
    <row r="17" spans="2:10" ht="12.75">
      <c r="B17" s="54" t="s">
        <v>45</v>
      </c>
      <c r="C17" s="2" t="s">
        <v>46</v>
      </c>
      <c r="D17" s="2">
        <f>232</f>
        <v>232</v>
      </c>
      <c r="E17" s="2">
        <f>32575</f>
        <v>32575</v>
      </c>
      <c r="F17" s="2">
        <f>28660</f>
        <v>28660</v>
      </c>
      <c r="G17" s="2">
        <f>77464</f>
        <v>77464</v>
      </c>
      <c r="H17" s="2">
        <f>452</f>
        <v>452</v>
      </c>
      <c r="I17" s="2" t="s">
        <v>47</v>
      </c>
      <c r="J17" s="44" t="s">
        <v>48</v>
      </c>
    </row>
    <row r="18" spans="2:10" ht="12.75">
      <c r="B18" s="54" t="s">
        <v>49</v>
      </c>
      <c r="C18" s="2" t="s">
        <v>50</v>
      </c>
      <c r="D18" s="2">
        <f>701</f>
        <v>701</v>
      </c>
      <c r="E18" s="2">
        <f>120721</f>
        <v>120721</v>
      </c>
      <c r="F18" s="2">
        <f>99879</f>
        <v>99879</v>
      </c>
      <c r="G18" s="2">
        <f>268405</f>
        <v>268405</v>
      </c>
      <c r="H18" s="2">
        <f>616</f>
        <v>616</v>
      </c>
      <c r="I18" s="2" t="s">
        <v>51</v>
      </c>
      <c r="J18" s="44" t="s">
        <v>52</v>
      </c>
    </row>
    <row r="19" spans="2:10" ht="12.75">
      <c r="B19" s="54" t="s">
        <v>53</v>
      </c>
      <c r="C19" s="2" t="s">
        <v>54</v>
      </c>
      <c r="D19" s="2">
        <f>198</f>
        <v>198</v>
      </c>
      <c r="E19" s="2">
        <f>49827</f>
        <v>49827</v>
      </c>
      <c r="F19" s="2">
        <f>34901</f>
        <v>34901</v>
      </c>
      <c r="G19" s="2">
        <f>97864</f>
        <v>97864</v>
      </c>
      <c r="H19" s="2">
        <f>907</f>
        <v>907</v>
      </c>
      <c r="I19" s="2" t="s">
        <v>55</v>
      </c>
      <c r="J19" s="44" t="s">
        <v>56</v>
      </c>
    </row>
    <row r="20" spans="2:10" ht="12.75">
      <c r="B20" s="54" t="s">
        <v>57</v>
      </c>
      <c r="C20" s="2" t="s">
        <v>58</v>
      </c>
      <c r="D20" s="2">
        <f>207</f>
        <v>207</v>
      </c>
      <c r="E20" s="2">
        <f>43585</f>
        <v>43585</v>
      </c>
      <c r="F20" s="2">
        <f>30407</f>
        <v>30407</v>
      </c>
      <c r="G20" s="2">
        <f>80488</f>
        <v>80488</v>
      </c>
      <c r="H20" s="2">
        <f>364</f>
        <v>364</v>
      </c>
      <c r="I20" s="2" t="s">
        <v>59</v>
      </c>
      <c r="J20" s="44" t="s">
        <v>60</v>
      </c>
    </row>
    <row r="21" spans="2:10" ht="12.75">
      <c r="B21" s="54" t="s">
        <v>61</v>
      </c>
      <c r="C21" s="2" t="s">
        <v>62</v>
      </c>
      <c r="D21" s="2">
        <f>140</f>
        <v>140</v>
      </c>
      <c r="E21" s="2">
        <f>19030</f>
        <v>19030</v>
      </c>
      <c r="F21" s="2">
        <f>13832</f>
        <v>13832</v>
      </c>
      <c r="G21" s="2">
        <f>37951</f>
        <v>37951</v>
      </c>
      <c r="H21" s="2">
        <v>143</v>
      </c>
      <c r="I21" s="2" t="s">
        <v>63</v>
      </c>
      <c r="J21" s="44" t="s">
        <v>64</v>
      </c>
    </row>
    <row r="22" spans="2:10" ht="12.75">
      <c r="B22" s="54" t="s">
        <v>65</v>
      </c>
      <c r="C22" s="2" t="s">
        <v>66</v>
      </c>
      <c r="D22" s="2">
        <f>314</f>
        <v>314</v>
      </c>
      <c r="E22" s="2">
        <f>57270</f>
        <v>57270</v>
      </c>
      <c r="F22" s="2">
        <f>43058</f>
        <v>43058</v>
      </c>
      <c r="G22" s="2">
        <f>120488</f>
        <v>120488</v>
      </c>
      <c r="H22" s="2">
        <v>460</v>
      </c>
      <c r="I22" s="2" t="s">
        <v>67</v>
      </c>
      <c r="J22" s="44" t="s">
        <v>68</v>
      </c>
    </row>
    <row r="23" spans="2:10" ht="12.75">
      <c r="B23" s="54" t="s">
        <v>69</v>
      </c>
      <c r="C23" s="2" t="s">
        <v>70</v>
      </c>
      <c r="D23" s="2">
        <f>52</f>
        <v>52</v>
      </c>
      <c r="E23" s="2">
        <f>8597</f>
        <v>8597</v>
      </c>
      <c r="F23" s="2">
        <f>6104</f>
        <v>6104</v>
      </c>
      <c r="G23" s="2">
        <f>16288</f>
        <v>16288</v>
      </c>
      <c r="H23" s="2">
        <f>96</f>
        <v>96</v>
      </c>
      <c r="I23" s="2" t="s">
        <v>71</v>
      </c>
      <c r="J23" s="44" t="s">
        <v>72</v>
      </c>
    </row>
    <row r="24" spans="2:10" ht="12.75">
      <c r="B24" s="54" t="s">
        <v>73</v>
      </c>
      <c r="C24" s="2" t="s">
        <v>74</v>
      </c>
      <c r="D24" s="2">
        <f>81</f>
        <v>81</v>
      </c>
      <c r="E24" s="2">
        <f>15327</f>
        <v>15327</v>
      </c>
      <c r="F24" s="2">
        <f>12333</f>
        <v>12333</v>
      </c>
      <c r="G24" s="2">
        <f>35418</f>
        <v>35418</v>
      </c>
      <c r="H24" s="2">
        <f>93</f>
        <v>93</v>
      </c>
      <c r="I24" s="2" t="s">
        <v>75</v>
      </c>
      <c r="J24" s="44" t="s">
        <v>76</v>
      </c>
    </row>
    <row r="25" spans="2:10" ht="12.75">
      <c r="B25" s="54" t="s">
        <v>77</v>
      </c>
      <c r="C25" s="2" t="s">
        <v>78</v>
      </c>
      <c r="D25" s="2">
        <f>291</f>
        <v>291</v>
      </c>
      <c r="E25" s="2">
        <f>62027</f>
        <v>62027</v>
      </c>
      <c r="F25" s="2">
        <f>32586</f>
        <v>32586</v>
      </c>
      <c r="G25" s="2">
        <f>86454</f>
        <v>86454</v>
      </c>
      <c r="H25" s="2">
        <f>137</f>
        <v>137</v>
      </c>
      <c r="I25" s="2" t="s">
        <v>79</v>
      </c>
      <c r="J25" s="44" t="s">
        <v>80</v>
      </c>
    </row>
    <row r="26" spans="2:10" ht="12.75">
      <c r="B26" s="41" t="s">
        <v>413</v>
      </c>
      <c r="J26" s="44"/>
    </row>
    <row r="27" spans="2:10" ht="12.75">
      <c r="B27" s="54" t="s">
        <v>81</v>
      </c>
      <c r="C27" s="2" t="s">
        <v>82</v>
      </c>
      <c r="D27" s="2">
        <f>204</f>
        <v>204</v>
      </c>
      <c r="E27" s="2">
        <f>20256</f>
        <v>20256</v>
      </c>
      <c r="F27" s="2">
        <v>16973</v>
      </c>
      <c r="G27" s="2">
        <f>47296</f>
        <v>47296</v>
      </c>
      <c r="H27" s="2">
        <f>426</f>
        <v>426</v>
      </c>
      <c r="I27" s="2" t="s">
        <v>83</v>
      </c>
      <c r="J27" s="44" t="s">
        <v>84</v>
      </c>
    </row>
    <row r="28" spans="2:10" ht="12.75">
      <c r="B28" s="54" t="s">
        <v>85</v>
      </c>
      <c r="C28" s="2" t="s">
        <v>86</v>
      </c>
      <c r="D28" s="2">
        <f>108</f>
        <v>108</v>
      </c>
      <c r="E28" s="2">
        <f>11698</f>
        <v>11698</v>
      </c>
      <c r="F28" s="2">
        <v>9071</v>
      </c>
      <c r="G28" s="2">
        <f>26190</f>
        <v>26190</v>
      </c>
      <c r="H28" s="2">
        <f>126</f>
        <v>126</v>
      </c>
      <c r="I28" s="2" t="s">
        <v>87</v>
      </c>
      <c r="J28" s="44" t="s">
        <v>88</v>
      </c>
    </row>
    <row r="29" spans="2:10" ht="12.75">
      <c r="B29" s="54" t="s">
        <v>89</v>
      </c>
      <c r="C29" s="2" t="s">
        <v>90</v>
      </c>
      <c r="D29" s="2">
        <f>111</f>
        <v>111</v>
      </c>
      <c r="E29" s="2">
        <f>20606</f>
        <v>20606</v>
      </c>
      <c r="F29" s="2">
        <f>14987</f>
        <v>14987</v>
      </c>
      <c r="G29" s="2">
        <f>43557</f>
        <v>43557</v>
      </c>
      <c r="H29" s="2">
        <f>218</f>
        <v>218</v>
      </c>
      <c r="I29" s="2" t="s">
        <v>91</v>
      </c>
      <c r="J29" s="44" t="s">
        <v>92</v>
      </c>
    </row>
    <row r="30" spans="2:10" ht="12.75">
      <c r="B30" s="54" t="s">
        <v>93</v>
      </c>
      <c r="C30" s="2" t="s">
        <v>94</v>
      </c>
      <c r="D30" s="2">
        <f>163</f>
        <v>163</v>
      </c>
      <c r="E30" s="2">
        <f>20619</f>
        <v>20619</v>
      </c>
      <c r="F30" s="2">
        <f>16528</f>
        <v>16528</v>
      </c>
      <c r="G30" s="2">
        <f>43849</f>
        <v>43849</v>
      </c>
      <c r="H30" s="2">
        <f>214</f>
        <v>214</v>
      </c>
      <c r="I30" s="2" t="s">
        <v>96</v>
      </c>
      <c r="J30" s="44" t="s">
        <v>97</v>
      </c>
    </row>
    <row r="31" spans="2:10" ht="12.75">
      <c r="B31" s="41" t="s">
        <v>414</v>
      </c>
      <c r="J31" s="44"/>
    </row>
    <row r="32" spans="2:10" ht="12.75">
      <c r="B32" s="54" t="s">
        <v>98</v>
      </c>
      <c r="C32" s="2" t="s">
        <v>99</v>
      </c>
      <c r="D32" s="2">
        <f>167</f>
        <v>167</v>
      </c>
      <c r="E32" s="2">
        <f>18111</f>
        <v>18111</v>
      </c>
      <c r="F32" s="2">
        <f>15617</f>
        <v>15617</v>
      </c>
      <c r="G32" s="2">
        <f>42082</f>
        <v>42082</v>
      </c>
      <c r="H32" s="2">
        <f>183</f>
        <v>183</v>
      </c>
      <c r="I32" s="2" t="s">
        <v>100</v>
      </c>
      <c r="J32" s="44" t="s">
        <v>101</v>
      </c>
    </row>
    <row r="33" spans="2:10" ht="12.75">
      <c r="B33" s="54" t="s">
        <v>102</v>
      </c>
      <c r="C33" s="2" t="s">
        <v>103</v>
      </c>
      <c r="D33" s="2">
        <f>24</f>
        <v>24</v>
      </c>
      <c r="E33" s="2">
        <f>4290</f>
        <v>4290</v>
      </c>
      <c r="F33" s="2">
        <f>3530</f>
        <v>3530</v>
      </c>
      <c r="G33" s="2">
        <f>10207</f>
        <v>10207</v>
      </c>
      <c r="H33" s="2">
        <f>92</f>
        <v>92</v>
      </c>
      <c r="I33" s="2" t="s">
        <v>104</v>
      </c>
      <c r="J33" s="44" t="s">
        <v>105</v>
      </c>
    </row>
    <row r="34" spans="2:10" ht="12.75">
      <c r="B34" s="54" t="s">
        <v>106</v>
      </c>
      <c r="C34" s="2" t="s">
        <v>107</v>
      </c>
      <c r="D34" s="2">
        <f>108</f>
        <v>108</v>
      </c>
      <c r="E34" s="2">
        <f>13582</f>
        <v>13582</v>
      </c>
      <c r="F34" s="2">
        <f>12163</f>
        <v>12163</v>
      </c>
      <c r="G34" s="2">
        <f>33385</f>
        <v>33385</v>
      </c>
      <c r="H34" s="2">
        <f>103</f>
        <v>103</v>
      </c>
      <c r="I34" s="2" t="s">
        <v>108</v>
      </c>
      <c r="J34" s="44" t="s">
        <v>109</v>
      </c>
    </row>
    <row r="35" spans="2:10" ht="12.75">
      <c r="B35" s="54" t="s">
        <v>110</v>
      </c>
      <c r="C35" s="2" t="s">
        <v>111</v>
      </c>
      <c r="D35" s="2">
        <f>366</f>
        <v>366</v>
      </c>
      <c r="E35" s="2">
        <f>74846</f>
        <v>74846</v>
      </c>
      <c r="F35" s="2">
        <f>53432</f>
        <v>53432</v>
      </c>
      <c r="G35" s="2">
        <f>147070</f>
        <v>147070</v>
      </c>
      <c r="H35" s="2">
        <f>577</f>
        <v>577</v>
      </c>
      <c r="I35" s="2" t="s">
        <v>112</v>
      </c>
      <c r="J35" s="44" t="s">
        <v>113</v>
      </c>
    </row>
    <row r="36" spans="2:10" ht="12.75">
      <c r="B36" s="54" t="s">
        <v>114</v>
      </c>
      <c r="C36" s="2" t="s">
        <v>115</v>
      </c>
      <c r="D36" s="2">
        <f>103</f>
        <v>103</v>
      </c>
      <c r="E36" s="2">
        <f>18933</f>
        <v>18933</v>
      </c>
      <c r="F36" s="2">
        <f>15682</f>
        <v>15682</v>
      </c>
      <c r="G36" s="2">
        <f>41219</f>
        <v>41219</v>
      </c>
      <c r="H36" s="2">
        <f>115</f>
        <v>115</v>
      </c>
      <c r="I36" s="55" t="s">
        <v>328</v>
      </c>
      <c r="J36" s="44" t="s">
        <v>116</v>
      </c>
    </row>
    <row r="37" spans="2:10" ht="12.75">
      <c r="B37" s="41" t="s">
        <v>415</v>
      </c>
      <c r="J37" s="44"/>
    </row>
    <row r="38" spans="2:10" ht="12.75">
      <c r="B38" s="54" t="s">
        <v>117</v>
      </c>
      <c r="C38" s="2" t="s">
        <v>118</v>
      </c>
      <c r="D38" s="2">
        <f>106</f>
        <v>106</v>
      </c>
      <c r="E38" s="2">
        <f>19087</f>
        <v>19087</v>
      </c>
      <c r="F38" s="2">
        <f>13900</f>
        <v>13900</v>
      </c>
      <c r="G38" s="2">
        <f>39816</f>
        <v>39816</v>
      </c>
      <c r="H38" s="2">
        <f>200</f>
        <v>200</v>
      </c>
      <c r="I38" s="2" t="s">
        <v>119</v>
      </c>
      <c r="J38" s="44" t="s">
        <v>120</v>
      </c>
    </row>
    <row r="39" spans="2:10" ht="12.75">
      <c r="B39" s="54" t="s">
        <v>121</v>
      </c>
      <c r="C39" s="2" t="s">
        <v>122</v>
      </c>
      <c r="D39" s="2">
        <f>67</f>
        <v>67</v>
      </c>
      <c r="E39" s="2">
        <f>6461</f>
        <v>6461</v>
      </c>
      <c r="F39" s="2">
        <f>5557</f>
        <v>5557</v>
      </c>
      <c r="G39" s="2">
        <f>16602</f>
        <v>16602</v>
      </c>
      <c r="H39" s="2">
        <f>141</f>
        <v>141</v>
      </c>
      <c r="I39" s="2" t="s">
        <v>123</v>
      </c>
      <c r="J39" s="44" t="s">
        <v>95</v>
      </c>
    </row>
    <row r="40" spans="2:10" ht="12.75">
      <c r="B40" s="54" t="s">
        <v>124</v>
      </c>
      <c r="C40" s="2" t="s">
        <v>125</v>
      </c>
      <c r="D40" s="2">
        <f>161</f>
        <v>161</v>
      </c>
      <c r="E40" s="2">
        <f>32974</f>
        <v>32974</v>
      </c>
      <c r="F40" s="2">
        <f>22685</f>
        <v>22685</v>
      </c>
      <c r="G40" s="2">
        <f>62741</f>
        <v>62741</v>
      </c>
      <c r="H40" s="2">
        <f>80</f>
        <v>80</v>
      </c>
      <c r="I40" s="2" t="s">
        <v>126</v>
      </c>
      <c r="J40" s="44" t="s">
        <v>127</v>
      </c>
    </row>
    <row r="41" spans="2:10" ht="12.75">
      <c r="B41" s="54" t="s">
        <v>128</v>
      </c>
      <c r="C41" s="2" t="s">
        <v>129</v>
      </c>
      <c r="D41" s="2">
        <f>147</f>
        <v>147</v>
      </c>
      <c r="E41" s="2">
        <f>30883</f>
        <v>30883</v>
      </c>
      <c r="F41" s="2">
        <f>24021</f>
        <v>24021</v>
      </c>
      <c r="G41" s="2">
        <f>65223</f>
        <v>65223</v>
      </c>
      <c r="H41" s="2">
        <f>179</f>
        <v>179</v>
      </c>
      <c r="I41" s="2" t="s">
        <v>130</v>
      </c>
      <c r="J41" s="44" t="s">
        <v>131</v>
      </c>
    </row>
    <row r="42" spans="2:10" ht="12.75">
      <c r="B42" s="54" t="s">
        <v>132</v>
      </c>
      <c r="C42" s="2" t="s">
        <v>133</v>
      </c>
      <c r="D42" s="2">
        <f>159</f>
        <v>159</v>
      </c>
      <c r="E42" s="2">
        <f>22740</f>
        <v>22740</v>
      </c>
      <c r="F42" s="2">
        <f>19205</f>
        <v>19205</v>
      </c>
      <c r="G42" s="2">
        <f>53195</f>
        <v>53195</v>
      </c>
      <c r="H42" s="2">
        <f>254</f>
        <v>254</v>
      </c>
      <c r="I42" s="2" t="s">
        <v>134</v>
      </c>
      <c r="J42" s="44" t="s">
        <v>135</v>
      </c>
    </row>
    <row r="43" spans="2:10" ht="12.75">
      <c r="B43" s="54" t="s">
        <v>136</v>
      </c>
      <c r="C43" s="2" t="s">
        <v>137</v>
      </c>
      <c r="D43" s="2">
        <f>125</f>
        <v>125</v>
      </c>
      <c r="E43" s="2">
        <f>16270</f>
        <v>16270</v>
      </c>
      <c r="F43" s="2">
        <f>13827</f>
        <v>13827</v>
      </c>
      <c r="G43" s="2">
        <f>38360</f>
        <v>38360</v>
      </c>
      <c r="H43" s="2">
        <f>200</f>
        <v>200</v>
      </c>
      <c r="I43" s="2" t="s">
        <v>138</v>
      </c>
      <c r="J43" s="44" t="s">
        <v>139</v>
      </c>
    </row>
    <row r="44" spans="2:10" ht="12.75">
      <c r="B44" s="54"/>
      <c r="J44" s="44"/>
    </row>
    <row r="45" spans="2:10" ht="13.5" thickBot="1">
      <c r="B45" s="56"/>
      <c r="C45" s="57" t="s">
        <v>140</v>
      </c>
      <c r="D45" s="58">
        <f>8036</f>
        <v>8036</v>
      </c>
      <c r="E45" s="59">
        <f>1512922</f>
        <v>1512922</v>
      </c>
      <c r="F45" s="58">
        <f>1119158</f>
        <v>1119158</v>
      </c>
      <c r="G45" s="58">
        <v>3143730</v>
      </c>
      <c r="H45" s="58">
        <f>11638</f>
        <v>11638</v>
      </c>
      <c r="I45" s="59">
        <f>935127</f>
        <v>935127</v>
      </c>
      <c r="J45" s="60">
        <f>46533</f>
        <v>46533</v>
      </c>
    </row>
    <row r="46" spans="2:10" s="11" customFormat="1" ht="21" customHeight="1">
      <c r="B46" s="5" t="s">
        <v>329</v>
      </c>
      <c r="C46" s="6"/>
      <c r="D46" s="7"/>
      <c r="E46" s="8">
        <f>D45</f>
        <v>8036</v>
      </c>
      <c r="F46" s="9"/>
      <c r="G46" s="9"/>
      <c r="H46" s="9"/>
      <c r="I46" s="9"/>
      <c r="J46" s="10"/>
    </row>
    <row r="47" spans="2:10" s="11" customFormat="1" ht="15.75" thickBot="1">
      <c r="B47" s="12" t="s">
        <v>462</v>
      </c>
      <c r="C47" s="13"/>
      <c r="D47" s="14"/>
      <c r="E47" s="15">
        <f>F45+G45+H45-I45</f>
        <v>3339399</v>
      </c>
      <c r="F47" s="16"/>
      <c r="G47" s="16"/>
      <c r="H47" s="16"/>
      <c r="I47" s="16"/>
      <c r="J47" s="17"/>
    </row>
    <row r="48" spans="2:10" ht="21" customHeight="1">
      <c r="B48" s="125" t="s">
        <v>439</v>
      </c>
      <c r="C48" s="134"/>
      <c r="D48" s="42"/>
      <c r="E48" s="42"/>
      <c r="F48" s="42"/>
      <c r="G48" s="42"/>
      <c r="H48" s="42"/>
      <c r="I48" s="42"/>
      <c r="J48" s="43"/>
    </row>
    <row r="49" spans="2:10" ht="12.75">
      <c r="B49" s="125" t="s">
        <v>444</v>
      </c>
      <c r="C49" s="126"/>
      <c r="D49" s="126"/>
      <c r="E49" s="126"/>
      <c r="F49" s="126"/>
      <c r="G49" s="42"/>
      <c r="H49" s="42"/>
      <c r="I49" s="42"/>
      <c r="J49" s="43"/>
    </row>
    <row r="50" spans="2:10" ht="12.75">
      <c r="B50" s="125" t="s">
        <v>445</v>
      </c>
      <c r="C50" s="126"/>
      <c r="D50" s="42"/>
      <c r="E50" s="42"/>
      <c r="F50" s="42"/>
      <c r="G50" s="42"/>
      <c r="H50" s="42"/>
      <c r="I50" s="42"/>
      <c r="J50" s="43"/>
    </row>
    <row r="51" spans="2:10" ht="12.75">
      <c r="B51" s="125" t="s">
        <v>446</v>
      </c>
      <c r="C51" s="126"/>
      <c r="D51" s="126"/>
      <c r="E51" s="126"/>
      <c r="F51" s="126"/>
      <c r="G51" s="42"/>
      <c r="H51" s="42"/>
      <c r="I51" s="42"/>
      <c r="J51" s="43"/>
    </row>
    <row r="52" spans="2:10" ht="12.75">
      <c r="B52" s="125" t="s">
        <v>447</v>
      </c>
      <c r="C52" s="126"/>
      <c r="D52" s="126"/>
      <c r="E52" s="126"/>
      <c r="F52" s="126"/>
      <c r="G52" s="126"/>
      <c r="H52" s="42"/>
      <c r="I52" s="42"/>
      <c r="J52" s="43"/>
    </row>
    <row r="53" spans="2:10" ht="12.75">
      <c r="B53" s="125" t="s">
        <v>448</v>
      </c>
      <c r="C53" s="126"/>
      <c r="D53" s="126"/>
      <c r="E53" s="126"/>
      <c r="F53" s="42"/>
      <c r="G53" s="42"/>
      <c r="H53" s="42"/>
      <c r="I53" s="42"/>
      <c r="J53" s="43"/>
    </row>
    <row r="54" spans="2:10" ht="12.75">
      <c r="B54" s="54"/>
      <c r="C54" s="42"/>
      <c r="D54" s="42"/>
      <c r="E54" s="42"/>
      <c r="F54" s="42"/>
      <c r="G54" s="42"/>
      <c r="H54" s="42"/>
      <c r="I54" s="42"/>
      <c r="J54" s="43"/>
    </row>
    <row r="55" spans="2:10" ht="40.5" customHeight="1">
      <c r="B55" s="148" t="s">
        <v>449</v>
      </c>
      <c r="C55" s="149"/>
      <c r="D55" s="149"/>
      <c r="H55" s="42"/>
      <c r="J55" s="43" t="s">
        <v>0</v>
      </c>
    </row>
    <row r="56" spans="2:10" ht="12.75">
      <c r="B56" s="148" t="s">
        <v>1</v>
      </c>
      <c r="C56" s="149"/>
      <c r="D56" s="149"/>
      <c r="E56" s="149"/>
      <c r="J56" s="44"/>
    </row>
    <row r="57" spans="2:10" ht="12.75">
      <c r="B57" s="150" t="s">
        <v>2</v>
      </c>
      <c r="C57" s="151"/>
      <c r="D57" s="151"/>
      <c r="E57" s="151"/>
      <c r="F57" s="151"/>
      <c r="G57" s="151"/>
      <c r="J57" s="44"/>
    </row>
    <row r="58" spans="2:10" ht="12.75">
      <c r="B58" s="148" t="s">
        <v>443</v>
      </c>
      <c r="C58" s="149"/>
      <c r="D58" s="149"/>
      <c r="E58" s="149"/>
      <c r="F58" s="149"/>
      <c r="G58" s="149"/>
      <c r="J58" s="44"/>
    </row>
    <row r="59" spans="2:10" ht="12.75">
      <c r="B59" s="148" t="s">
        <v>450</v>
      </c>
      <c r="C59" s="149"/>
      <c r="J59" s="44"/>
    </row>
    <row r="60" spans="2:10" ht="12.75">
      <c r="B60" s="48" t="s">
        <v>3</v>
      </c>
      <c r="C60" s="49" t="s">
        <v>4</v>
      </c>
      <c r="D60" s="62" t="s">
        <v>474</v>
      </c>
      <c r="E60" s="147" t="s">
        <v>142</v>
      </c>
      <c r="F60" s="147"/>
      <c r="G60" s="49" t="s">
        <v>143</v>
      </c>
      <c r="H60" s="62" t="s">
        <v>144</v>
      </c>
      <c r="I60" s="63" t="s">
        <v>145</v>
      </c>
      <c r="J60" s="64"/>
    </row>
    <row r="61" spans="2:10" ht="12.75">
      <c r="B61" s="51"/>
      <c r="C61" s="52" t="s">
        <v>12</v>
      </c>
      <c r="D61" s="52" t="s">
        <v>146</v>
      </c>
      <c r="E61" s="52" t="s">
        <v>147</v>
      </c>
      <c r="F61" s="52" t="s">
        <v>148</v>
      </c>
      <c r="G61" s="52" t="s">
        <v>149</v>
      </c>
      <c r="H61" s="65" t="s">
        <v>150</v>
      </c>
      <c r="I61" s="65" t="s">
        <v>151</v>
      </c>
      <c r="J61" s="53" t="s">
        <v>152</v>
      </c>
    </row>
    <row r="62" spans="2:10" ht="12.75">
      <c r="B62" s="41" t="s">
        <v>411</v>
      </c>
      <c r="J62" s="44"/>
    </row>
    <row r="63" spans="2:10" ht="12.75">
      <c r="B63" s="54" t="s">
        <v>20</v>
      </c>
      <c r="C63" s="2" t="s">
        <v>21</v>
      </c>
      <c r="D63" s="2">
        <f>485</f>
        <v>485</v>
      </c>
      <c r="E63" s="2" t="s">
        <v>153</v>
      </c>
      <c r="F63" s="2" t="s">
        <v>154</v>
      </c>
      <c r="G63" s="2" t="s">
        <v>155</v>
      </c>
      <c r="H63" s="2" t="s">
        <v>156</v>
      </c>
      <c r="I63" s="2" t="s">
        <v>157</v>
      </c>
      <c r="J63" s="44" t="s">
        <v>158</v>
      </c>
    </row>
    <row r="64" spans="2:10" ht="12.75">
      <c r="B64" s="54" t="s">
        <v>24</v>
      </c>
      <c r="C64" s="2" t="s">
        <v>25</v>
      </c>
      <c r="D64" s="2">
        <f>909</f>
        <v>909</v>
      </c>
      <c r="E64" s="2" t="s">
        <v>159</v>
      </c>
      <c r="F64" s="2" t="s">
        <v>160</v>
      </c>
      <c r="G64" s="2" t="s">
        <v>161</v>
      </c>
      <c r="H64" s="2" t="s">
        <v>162</v>
      </c>
      <c r="I64" s="2" t="s">
        <v>163</v>
      </c>
      <c r="J64" s="44" t="s">
        <v>164</v>
      </c>
    </row>
    <row r="65" spans="2:10" ht="12.75">
      <c r="B65" s="54" t="s">
        <v>29</v>
      </c>
      <c r="C65" s="2" t="s">
        <v>30</v>
      </c>
      <c r="D65" s="2">
        <f>187</f>
        <v>187</v>
      </c>
      <c r="E65" s="2" t="s">
        <v>165</v>
      </c>
      <c r="F65" s="2" t="s">
        <v>166</v>
      </c>
      <c r="G65" s="2" t="s">
        <v>167</v>
      </c>
      <c r="H65" s="2" t="s">
        <v>168</v>
      </c>
      <c r="I65" s="2" t="s">
        <v>169</v>
      </c>
      <c r="J65" s="44" t="s">
        <v>170</v>
      </c>
    </row>
    <row r="66" spans="2:10" ht="12.75">
      <c r="B66" s="54" t="s">
        <v>33</v>
      </c>
      <c r="C66" s="2" t="s">
        <v>34</v>
      </c>
      <c r="D66" s="2">
        <f>835</f>
        <v>835</v>
      </c>
      <c r="E66" s="2" t="s">
        <v>171</v>
      </c>
      <c r="F66" s="2" t="s">
        <v>172</v>
      </c>
      <c r="G66" s="2" t="s">
        <v>173</v>
      </c>
      <c r="H66" s="2" t="s">
        <v>174</v>
      </c>
      <c r="I66" s="2" t="s">
        <v>175</v>
      </c>
      <c r="J66" s="44" t="s">
        <v>176</v>
      </c>
    </row>
    <row r="67" spans="2:10" ht="12.75">
      <c r="B67" s="54" t="s">
        <v>37</v>
      </c>
      <c r="C67" s="2" t="s">
        <v>38</v>
      </c>
      <c r="D67" s="2">
        <f>193</f>
        <v>193</v>
      </c>
      <c r="E67" s="2" t="s">
        <v>177</v>
      </c>
      <c r="F67" s="2" t="s">
        <v>178</v>
      </c>
      <c r="G67" s="2" t="s">
        <v>179</v>
      </c>
      <c r="H67" s="2" t="s">
        <v>180</v>
      </c>
      <c r="I67" s="2" t="s">
        <v>181</v>
      </c>
      <c r="J67" s="44" t="s">
        <v>182</v>
      </c>
    </row>
    <row r="68" spans="2:10" ht="12.75">
      <c r="B68" s="54" t="s">
        <v>41</v>
      </c>
      <c r="C68" s="2" t="s">
        <v>42</v>
      </c>
      <c r="D68" s="2">
        <f>1036</f>
        <v>1036</v>
      </c>
      <c r="E68" s="2" t="s">
        <v>183</v>
      </c>
      <c r="F68" s="2" t="s">
        <v>184</v>
      </c>
      <c r="G68" s="2" t="s">
        <v>185</v>
      </c>
      <c r="H68" s="2" t="s">
        <v>186</v>
      </c>
      <c r="I68" s="2" t="s">
        <v>187</v>
      </c>
      <c r="J68" s="44" t="s">
        <v>188</v>
      </c>
    </row>
    <row r="69" spans="2:10" ht="12.75">
      <c r="B69" s="41" t="s">
        <v>412</v>
      </c>
      <c r="J69" s="44"/>
    </row>
    <row r="70" spans="2:10" ht="12.75">
      <c r="B70" s="54" t="s">
        <v>45</v>
      </c>
      <c r="C70" s="2" t="s">
        <v>46</v>
      </c>
      <c r="D70" s="2">
        <f>216</f>
        <v>216</v>
      </c>
      <c r="E70" s="2" t="s">
        <v>189</v>
      </c>
      <c r="F70" s="2" t="s">
        <v>190</v>
      </c>
      <c r="G70" s="2" t="s">
        <v>191</v>
      </c>
      <c r="H70" s="2" t="s">
        <v>192</v>
      </c>
      <c r="I70" s="2" t="s">
        <v>193</v>
      </c>
      <c r="J70" s="44" t="s">
        <v>194</v>
      </c>
    </row>
    <row r="71" spans="2:10" ht="12.75">
      <c r="B71" s="54" t="s">
        <v>49</v>
      </c>
      <c r="C71" s="2" t="s">
        <v>50</v>
      </c>
      <c r="D71" s="2">
        <f>697</f>
        <v>697</v>
      </c>
      <c r="E71" s="2" t="s">
        <v>195</v>
      </c>
      <c r="F71" s="2" t="s">
        <v>196</v>
      </c>
      <c r="G71" s="2" t="s">
        <v>197</v>
      </c>
      <c r="H71" s="2" t="s">
        <v>198</v>
      </c>
      <c r="I71" s="2" t="s">
        <v>199</v>
      </c>
      <c r="J71" s="44" t="s">
        <v>200</v>
      </c>
    </row>
    <row r="72" spans="2:10" ht="12.75">
      <c r="B72" s="54" t="s">
        <v>53</v>
      </c>
      <c r="C72" s="2" t="s">
        <v>54</v>
      </c>
      <c r="D72" s="2">
        <f>196</f>
        <v>196</v>
      </c>
      <c r="E72" s="2" t="s">
        <v>201</v>
      </c>
      <c r="F72" s="2" t="s">
        <v>202</v>
      </c>
      <c r="G72" s="2" t="s">
        <v>203</v>
      </c>
      <c r="H72" s="2" t="s">
        <v>204</v>
      </c>
      <c r="I72" s="2" t="s">
        <v>205</v>
      </c>
      <c r="J72" s="44" t="s">
        <v>206</v>
      </c>
    </row>
    <row r="73" spans="2:10" ht="12.75">
      <c r="B73" s="54" t="s">
        <v>57</v>
      </c>
      <c r="C73" s="2" t="s">
        <v>58</v>
      </c>
      <c r="D73" s="2">
        <f>207</f>
        <v>207</v>
      </c>
      <c r="E73" s="2" t="s">
        <v>207</v>
      </c>
      <c r="F73" s="2" t="s">
        <v>208</v>
      </c>
      <c r="G73" s="2" t="s">
        <v>209</v>
      </c>
      <c r="H73" s="2" t="s">
        <v>210</v>
      </c>
      <c r="I73" s="2" t="s">
        <v>211</v>
      </c>
      <c r="J73" s="44" t="s">
        <v>212</v>
      </c>
    </row>
    <row r="74" spans="2:10" ht="12.75">
      <c r="B74" s="54" t="s">
        <v>61</v>
      </c>
      <c r="C74" s="2" t="s">
        <v>62</v>
      </c>
      <c r="D74" s="2">
        <f>132</f>
        <v>132</v>
      </c>
      <c r="E74" s="2" t="s">
        <v>214</v>
      </c>
      <c r="F74" s="2" t="s">
        <v>215</v>
      </c>
      <c r="G74" s="2" t="s">
        <v>216</v>
      </c>
      <c r="H74" s="2" t="s">
        <v>217</v>
      </c>
      <c r="I74" s="2" t="s">
        <v>218</v>
      </c>
      <c r="J74" s="44" t="s">
        <v>219</v>
      </c>
    </row>
    <row r="75" spans="2:10" ht="12.75">
      <c r="B75" s="54" t="s">
        <v>65</v>
      </c>
      <c r="C75" s="2" t="s">
        <v>66</v>
      </c>
      <c r="D75" s="2">
        <f>291</f>
        <v>291</v>
      </c>
      <c r="E75" s="2" t="s">
        <v>220</v>
      </c>
      <c r="F75" s="2" t="s">
        <v>221</v>
      </c>
      <c r="G75" s="2" t="s">
        <v>222</v>
      </c>
      <c r="H75" s="2" t="s">
        <v>223</v>
      </c>
      <c r="I75" s="2" t="s">
        <v>213</v>
      </c>
      <c r="J75" s="44" t="s">
        <v>224</v>
      </c>
    </row>
    <row r="76" spans="2:10" ht="12.75">
      <c r="B76" s="54" t="s">
        <v>69</v>
      </c>
      <c r="C76" s="2" t="s">
        <v>70</v>
      </c>
      <c r="D76" s="2">
        <f>52</f>
        <v>52</v>
      </c>
      <c r="E76" s="2" t="s">
        <v>225</v>
      </c>
      <c r="F76" s="2" t="s">
        <v>32</v>
      </c>
      <c r="G76" s="2" t="s">
        <v>226</v>
      </c>
      <c r="H76" s="2" t="s">
        <v>227</v>
      </c>
      <c r="I76" s="2" t="s">
        <v>228</v>
      </c>
      <c r="J76" s="44" t="s">
        <v>229</v>
      </c>
    </row>
    <row r="77" spans="2:10" ht="12.75">
      <c r="B77" s="54" t="s">
        <v>73</v>
      </c>
      <c r="C77" s="2" t="s">
        <v>74</v>
      </c>
      <c r="D77" s="2">
        <f>81</f>
        <v>81</v>
      </c>
      <c r="E77" s="2" t="s">
        <v>230</v>
      </c>
      <c r="F77" s="2" t="s">
        <v>231</v>
      </c>
      <c r="G77" s="2" t="s">
        <v>232</v>
      </c>
      <c r="H77" s="2" t="s">
        <v>233</v>
      </c>
      <c r="I77" s="2" t="s">
        <v>234</v>
      </c>
      <c r="J77" s="44" t="s">
        <v>235</v>
      </c>
    </row>
    <row r="78" spans="2:10" ht="12.75">
      <c r="B78" s="54" t="s">
        <v>77</v>
      </c>
      <c r="C78" s="2" t="s">
        <v>78</v>
      </c>
      <c r="D78" s="2">
        <f>291</f>
        <v>291</v>
      </c>
      <c r="E78" s="2" t="s">
        <v>236</v>
      </c>
      <c r="F78" s="2" t="s">
        <v>237</v>
      </c>
      <c r="G78" s="2" t="s">
        <v>238</v>
      </c>
      <c r="H78" s="2" t="s">
        <v>239</v>
      </c>
      <c r="I78" s="2" t="s">
        <v>169</v>
      </c>
      <c r="J78" s="44" t="s">
        <v>240</v>
      </c>
    </row>
    <row r="79" spans="2:10" ht="12.75">
      <c r="B79" s="41" t="s">
        <v>416</v>
      </c>
      <c r="J79" s="44"/>
    </row>
    <row r="80" spans="2:10" ht="12.75">
      <c r="B80" s="54" t="s">
        <v>81</v>
      </c>
      <c r="C80" s="2" t="s">
        <v>82</v>
      </c>
      <c r="D80" s="2">
        <f>203</f>
        <v>203</v>
      </c>
      <c r="E80" s="2" t="s">
        <v>241</v>
      </c>
      <c r="F80" s="2" t="s">
        <v>242</v>
      </c>
      <c r="G80" s="2" t="s">
        <v>243</v>
      </c>
      <c r="H80" s="2" t="s">
        <v>244</v>
      </c>
      <c r="I80" s="2" t="s">
        <v>245</v>
      </c>
      <c r="J80" s="44" t="s">
        <v>246</v>
      </c>
    </row>
    <row r="81" spans="2:10" ht="12.75">
      <c r="B81" s="54" t="s">
        <v>85</v>
      </c>
      <c r="C81" s="2" t="s">
        <v>86</v>
      </c>
      <c r="D81" s="2">
        <f>99</f>
        <v>99</v>
      </c>
      <c r="E81" s="2" t="s">
        <v>247</v>
      </c>
      <c r="F81" s="2" t="s">
        <v>248</v>
      </c>
      <c r="G81" s="2" t="s">
        <v>249</v>
      </c>
      <c r="H81" s="2" t="s">
        <v>250</v>
      </c>
      <c r="I81" s="2" t="s">
        <v>251</v>
      </c>
      <c r="J81" s="44" t="s">
        <v>252</v>
      </c>
    </row>
    <row r="82" spans="2:10" ht="12.75">
      <c r="B82" s="54" t="s">
        <v>89</v>
      </c>
      <c r="C82" s="2" t="s">
        <v>90</v>
      </c>
      <c r="D82" s="2">
        <f>108</f>
        <v>108</v>
      </c>
      <c r="E82" s="2" t="s">
        <v>253</v>
      </c>
      <c r="F82" s="2" t="s">
        <v>254</v>
      </c>
      <c r="G82" s="2" t="s">
        <v>255</v>
      </c>
      <c r="H82" s="2" t="s">
        <v>256</v>
      </c>
      <c r="I82" s="2" t="s">
        <v>257</v>
      </c>
      <c r="J82" s="44" t="s">
        <v>258</v>
      </c>
    </row>
    <row r="83" spans="2:10" ht="12.75">
      <c r="B83" s="54" t="s">
        <v>93</v>
      </c>
      <c r="C83" s="2" t="s">
        <v>94</v>
      </c>
      <c r="D83" s="2">
        <f>163</f>
        <v>163</v>
      </c>
      <c r="E83" s="2" t="s">
        <v>259</v>
      </c>
      <c r="F83" s="2" t="s">
        <v>260</v>
      </c>
      <c r="G83" s="2" t="s">
        <v>261</v>
      </c>
      <c r="H83" s="2" t="s">
        <v>262</v>
      </c>
      <c r="I83" s="2" t="s">
        <v>263</v>
      </c>
      <c r="J83" s="44" t="s">
        <v>264</v>
      </c>
    </row>
    <row r="84" spans="2:10" ht="12.75">
      <c r="B84" s="41" t="s">
        <v>414</v>
      </c>
      <c r="J84" s="44"/>
    </row>
    <row r="85" spans="2:10" ht="12.75">
      <c r="B85" s="54" t="s">
        <v>98</v>
      </c>
      <c r="C85" s="2" t="s">
        <v>99</v>
      </c>
      <c r="D85" s="2">
        <f>167</f>
        <v>167</v>
      </c>
      <c r="E85" s="2" t="s">
        <v>265</v>
      </c>
      <c r="F85" s="2" t="s">
        <v>266</v>
      </c>
      <c r="G85" s="2" t="s">
        <v>267</v>
      </c>
      <c r="H85" s="2" t="s">
        <v>268</v>
      </c>
      <c r="I85" s="2" t="s">
        <v>269</v>
      </c>
      <c r="J85" s="44" t="s">
        <v>270</v>
      </c>
    </row>
    <row r="86" spans="2:10" ht="12.75">
      <c r="B86" s="54" t="s">
        <v>102</v>
      </c>
      <c r="C86" s="2" t="s">
        <v>103</v>
      </c>
      <c r="D86" s="2">
        <f>24</f>
        <v>24</v>
      </c>
      <c r="E86" s="2" t="s">
        <v>271</v>
      </c>
      <c r="F86" s="2" t="s">
        <v>272</v>
      </c>
      <c r="G86" s="2" t="s">
        <v>273</v>
      </c>
      <c r="H86" s="2" t="s">
        <v>274</v>
      </c>
      <c r="I86" s="2" t="s">
        <v>275</v>
      </c>
      <c r="J86" s="44" t="s">
        <v>276</v>
      </c>
    </row>
    <row r="87" spans="2:10" ht="12.75">
      <c r="B87" s="54" t="s">
        <v>106</v>
      </c>
      <c r="C87" s="2" t="s">
        <v>107</v>
      </c>
      <c r="D87" s="2">
        <f>106</f>
        <v>106</v>
      </c>
      <c r="E87" s="2" t="s">
        <v>277</v>
      </c>
      <c r="F87" s="2" t="s">
        <v>278</v>
      </c>
      <c r="G87" s="2" t="s">
        <v>279</v>
      </c>
      <c r="H87" s="2" t="s">
        <v>280</v>
      </c>
      <c r="I87" s="2" t="s">
        <v>281</v>
      </c>
      <c r="J87" s="44" t="s">
        <v>282</v>
      </c>
    </row>
    <row r="88" spans="2:10" ht="12.75">
      <c r="B88" s="54" t="s">
        <v>110</v>
      </c>
      <c r="C88" s="2" t="s">
        <v>111</v>
      </c>
      <c r="D88" s="2">
        <f>298</f>
        <v>298</v>
      </c>
      <c r="E88" s="2" t="s">
        <v>283</v>
      </c>
      <c r="F88" s="2" t="s">
        <v>284</v>
      </c>
      <c r="G88" s="2" t="s">
        <v>285</v>
      </c>
      <c r="H88" s="2" t="s">
        <v>286</v>
      </c>
      <c r="I88" s="2" t="s">
        <v>213</v>
      </c>
      <c r="J88" s="44" t="s">
        <v>287</v>
      </c>
    </row>
    <row r="89" spans="2:10" ht="12.75">
      <c r="B89" s="54" t="s">
        <v>114</v>
      </c>
      <c r="C89" s="2" t="s">
        <v>115</v>
      </c>
      <c r="D89" s="2">
        <f>103</f>
        <v>103</v>
      </c>
      <c r="E89" s="2" t="s">
        <v>288</v>
      </c>
      <c r="F89" s="2" t="s">
        <v>289</v>
      </c>
      <c r="G89" s="2" t="s">
        <v>290</v>
      </c>
      <c r="H89" s="2" t="s">
        <v>291</v>
      </c>
      <c r="I89" s="2" t="s">
        <v>292</v>
      </c>
      <c r="J89" s="44" t="s">
        <v>293</v>
      </c>
    </row>
    <row r="90" spans="2:10" ht="12.75">
      <c r="B90" s="41" t="s">
        <v>415</v>
      </c>
      <c r="J90" s="44"/>
    </row>
    <row r="91" spans="2:10" ht="12.75">
      <c r="B91" s="54" t="s">
        <v>117</v>
      </c>
      <c r="C91" s="2" t="s">
        <v>118</v>
      </c>
      <c r="D91" s="2">
        <f>96</f>
        <v>96</v>
      </c>
      <c r="E91" s="2" t="s">
        <v>294</v>
      </c>
      <c r="F91" s="2" t="s">
        <v>295</v>
      </c>
      <c r="G91" s="2" t="s">
        <v>26</v>
      </c>
      <c r="H91" s="2" t="s">
        <v>296</v>
      </c>
      <c r="I91" s="2" t="s">
        <v>297</v>
      </c>
      <c r="J91" s="44" t="s">
        <v>298</v>
      </c>
    </row>
    <row r="92" spans="2:10" ht="12.75">
      <c r="B92" s="54" t="s">
        <v>121</v>
      </c>
      <c r="C92" s="2" t="s">
        <v>122</v>
      </c>
      <c r="D92" s="2">
        <f>67</f>
        <v>67</v>
      </c>
      <c r="E92" s="2" t="s">
        <v>299</v>
      </c>
      <c r="F92" s="2" t="s">
        <v>300</v>
      </c>
      <c r="G92" s="2" t="s">
        <v>301</v>
      </c>
      <c r="H92" s="2" t="s">
        <v>302</v>
      </c>
      <c r="I92" s="2" t="s">
        <v>303</v>
      </c>
      <c r="J92" s="44" t="s">
        <v>304</v>
      </c>
    </row>
    <row r="93" spans="2:10" ht="12.75">
      <c r="B93" s="54" t="s">
        <v>124</v>
      </c>
      <c r="C93" s="2" t="s">
        <v>125</v>
      </c>
      <c r="D93" s="2">
        <f>159</f>
        <v>159</v>
      </c>
      <c r="E93" s="2" t="s">
        <v>305</v>
      </c>
      <c r="F93" s="2" t="s">
        <v>306</v>
      </c>
      <c r="G93" s="2" t="s">
        <v>307</v>
      </c>
      <c r="H93" s="2" t="s">
        <v>308</v>
      </c>
      <c r="I93" s="2" t="s">
        <v>228</v>
      </c>
      <c r="J93" s="44" t="s">
        <v>309</v>
      </c>
    </row>
    <row r="94" spans="2:10" ht="12.75">
      <c r="B94" s="54" t="s">
        <v>128</v>
      </c>
      <c r="C94" s="2" t="s">
        <v>129</v>
      </c>
      <c r="D94" s="2">
        <f>140</f>
        <v>140</v>
      </c>
      <c r="E94" s="2" t="s">
        <v>310</v>
      </c>
      <c r="F94" s="2" t="s">
        <v>311</v>
      </c>
      <c r="G94" s="2" t="s">
        <v>312</v>
      </c>
      <c r="H94" s="2" t="s">
        <v>313</v>
      </c>
      <c r="I94" s="2" t="s">
        <v>314</v>
      </c>
      <c r="J94" s="44" t="s">
        <v>315</v>
      </c>
    </row>
    <row r="95" spans="2:10" ht="12.75">
      <c r="B95" s="54" t="s">
        <v>132</v>
      </c>
      <c r="C95" s="2" t="s">
        <v>133</v>
      </c>
      <c r="D95" s="2">
        <f>156</f>
        <v>156</v>
      </c>
      <c r="E95" s="2" t="s">
        <v>316</v>
      </c>
      <c r="F95" s="2" t="s">
        <v>317</v>
      </c>
      <c r="G95" s="2" t="s">
        <v>318</v>
      </c>
      <c r="H95" s="2" t="s">
        <v>319</v>
      </c>
      <c r="I95" s="2" t="s">
        <v>320</v>
      </c>
      <c r="J95" s="44" t="s">
        <v>321</v>
      </c>
    </row>
    <row r="96" spans="2:10" ht="12.75">
      <c r="B96" s="54" t="s">
        <v>136</v>
      </c>
      <c r="C96" s="2" t="s">
        <v>137</v>
      </c>
      <c r="D96" s="2">
        <f>122</f>
        <v>122</v>
      </c>
      <c r="E96" s="2" t="s">
        <v>322</v>
      </c>
      <c r="F96" s="2" t="s">
        <v>323</v>
      </c>
      <c r="G96" s="2" t="s">
        <v>324</v>
      </c>
      <c r="H96" s="2" t="s">
        <v>325</v>
      </c>
      <c r="I96" s="2" t="s">
        <v>326</v>
      </c>
      <c r="J96" s="44" t="s">
        <v>327</v>
      </c>
    </row>
    <row r="97" spans="2:10" ht="12.75">
      <c r="B97" s="54"/>
      <c r="I97" s="46"/>
      <c r="J97" s="44"/>
    </row>
    <row r="98" spans="2:10" ht="13.5" thickBot="1">
      <c r="B98" s="56"/>
      <c r="C98" s="57" t="s">
        <v>140</v>
      </c>
      <c r="D98" s="70">
        <f>7819</f>
        <v>7819</v>
      </c>
      <c r="E98" s="70">
        <f>222295</f>
        <v>222295</v>
      </c>
      <c r="F98" s="88">
        <f>230114</f>
        <v>230114</v>
      </c>
      <c r="G98" s="88">
        <f>82438</f>
        <v>82438</v>
      </c>
      <c r="H98" s="88">
        <f>78412</f>
        <v>78412</v>
      </c>
      <c r="I98" s="89">
        <f>2141</f>
        <v>2141</v>
      </c>
      <c r="J98" s="90">
        <f>80553</f>
        <v>80553</v>
      </c>
    </row>
    <row r="99" spans="2:10" s="11" customFormat="1" ht="15">
      <c r="B99" s="82" t="s">
        <v>410</v>
      </c>
      <c r="C99" s="83"/>
      <c r="D99" s="84"/>
      <c r="E99" s="72"/>
      <c r="F99" s="85">
        <f>D98</f>
        <v>7819</v>
      </c>
      <c r="G99" s="86"/>
      <c r="H99" s="86"/>
      <c r="I99" s="86"/>
      <c r="J99" s="87"/>
    </row>
    <row r="100" spans="2:10" s="11" customFormat="1" ht="15.75" thickBot="1">
      <c r="B100" s="12" t="s">
        <v>459</v>
      </c>
      <c r="C100" s="13"/>
      <c r="D100" s="14"/>
      <c r="E100" s="73"/>
      <c r="F100" s="15">
        <f>E98</f>
        <v>222295</v>
      </c>
      <c r="G100" s="16"/>
      <c r="H100" s="16"/>
      <c r="I100" s="16"/>
      <c r="J100" s="17"/>
    </row>
  </sheetData>
  <mergeCells count="17">
    <mergeCell ref="B1:C1"/>
    <mergeCell ref="B2:E2"/>
    <mergeCell ref="B3:G3"/>
    <mergeCell ref="B4:G4"/>
    <mergeCell ref="B5:C5"/>
    <mergeCell ref="B48:C48"/>
    <mergeCell ref="B49:F49"/>
    <mergeCell ref="B50:C50"/>
    <mergeCell ref="B51:F51"/>
    <mergeCell ref="B52:G52"/>
    <mergeCell ref="B53:E53"/>
    <mergeCell ref="B55:D55"/>
    <mergeCell ref="E60:F60"/>
    <mergeCell ref="B56:E56"/>
    <mergeCell ref="B57:G57"/>
    <mergeCell ref="B58:G58"/>
    <mergeCell ref="B59:C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01"/>
  <sheetViews>
    <sheetView workbookViewId="0" topLeftCell="A1">
      <selection activeCell="C36" sqref="C36"/>
    </sheetView>
  </sheetViews>
  <sheetFormatPr defaultColWidth="9.140625" defaultRowHeight="12.75"/>
  <cols>
    <col min="1" max="1" width="3.00390625" style="2" customWidth="1"/>
    <col min="2" max="2" width="6.28125" style="2" customWidth="1"/>
    <col min="3" max="3" width="28.28125" style="2" customWidth="1"/>
    <col min="4" max="4" width="9.00390625" style="2" bestFit="1" customWidth="1"/>
    <col min="5" max="5" width="13.140625" style="2" bestFit="1" customWidth="1"/>
    <col min="6" max="6" width="11.57421875" style="2" bestFit="1" customWidth="1"/>
    <col min="7" max="7" width="10.00390625" style="2" bestFit="1" customWidth="1"/>
    <col min="8" max="8" width="10.28125" style="2" bestFit="1" customWidth="1"/>
    <col min="9" max="9" width="15.28125" style="2" bestFit="1" customWidth="1"/>
    <col min="10" max="10" width="9.57421875" style="2" bestFit="1" customWidth="1"/>
    <col min="11" max="16384" width="9.140625" style="2" customWidth="1"/>
  </cols>
  <sheetData>
    <row r="1" spans="2:10" ht="12.75">
      <c r="B1" s="161" t="s">
        <v>424</v>
      </c>
      <c r="C1" s="162"/>
      <c r="D1" s="26"/>
      <c r="E1" s="26"/>
      <c r="F1" s="26"/>
      <c r="G1" s="26"/>
      <c r="H1" s="26"/>
      <c r="I1" s="26"/>
      <c r="J1" s="27" t="s">
        <v>330</v>
      </c>
    </row>
    <row r="2" spans="2:10" ht="12.75">
      <c r="B2" s="155" t="s">
        <v>331</v>
      </c>
      <c r="C2" s="156"/>
      <c r="D2" s="156"/>
      <c r="E2" s="156"/>
      <c r="F2" s="30"/>
      <c r="G2" s="30"/>
      <c r="H2" s="30"/>
      <c r="I2" s="30"/>
      <c r="J2" s="31"/>
    </row>
    <row r="3" spans="2:10" ht="12.75">
      <c r="B3" s="157" t="s">
        <v>332</v>
      </c>
      <c r="C3" s="158"/>
      <c r="D3" s="158"/>
      <c r="E3" s="158"/>
      <c r="F3" s="158"/>
      <c r="G3" s="158"/>
      <c r="H3" s="158"/>
      <c r="I3" s="30"/>
      <c r="J3" s="31"/>
    </row>
    <row r="4" spans="2:10" ht="12.75">
      <c r="B4" s="155" t="s">
        <v>425</v>
      </c>
      <c r="C4" s="156"/>
      <c r="D4" s="156"/>
      <c r="E4" s="156"/>
      <c r="F4" s="156"/>
      <c r="G4" s="156"/>
      <c r="H4" s="156"/>
      <c r="I4" s="30"/>
      <c r="J4" s="31"/>
    </row>
    <row r="5" spans="2:10" ht="12.75">
      <c r="B5" s="155" t="s">
        <v>426</v>
      </c>
      <c r="C5" s="156"/>
      <c r="D5" s="30"/>
      <c r="E5" s="30"/>
      <c r="F5" s="30"/>
      <c r="G5" s="30"/>
      <c r="H5" s="30"/>
      <c r="I5" s="30"/>
      <c r="J5" s="31"/>
    </row>
    <row r="6" spans="2:10" ht="12.75">
      <c r="B6" s="32"/>
      <c r="C6" s="20"/>
      <c r="D6" s="20"/>
      <c r="E6" s="20"/>
      <c r="F6" s="20"/>
      <c r="G6" s="20"/>
      <c r="H6" s="20"/>
      <c r="I6" s="20"/>
      <c r="J6" s="33"/>
    </row>
    <row r="7" spans="2:10" ht="12.75">
      <c r="B7" s="28" t="s">
        <v>333</v>
      </c>
      <c r="C7" s="29" t="s">
        <v>334</v>
      </c>
      <c r="D7" s="29" t="s">
        <v>335</v>
      </c>
      <c r="E7" s="29" t="s">
        <v>336</v>
      </c>
      <c r="F7" s="29" t="s">
        <v>337</v>
      </c>
      <c r="G7" s="29" t="s">
        <v>338</v>
      </c>
      <c r="H7" s="29" t="s">
        <v>339</v>
      </c>
      <c r="I7" s="29" t="s">
        <v>340</v>
      </c>
      <c r="J7" s="34" t="s">
        <v>341</v>
      </c>
    </row>
    <row r="8" spans="2:10" ht="12.75">
      <c r="B8" s="32"/>
      <c r="C8" s="21" t="s">
        <v>342</v>
      </c>
      <c r="D8" s="21" t="s">
        <v>343</v>
      </c>
      <c r="E8" s="21" t="s">
        <v>344</v>
      </c>
      <c r="F8" s="21" t="s">
        <v>345</v>
      </c>
      <c r="G8" s="21" t="s">
        <v>346</v>
      </c>
      <c r="H8" s="21" t="s">
        <v>347</v>
      </c>
      <c r="I8" s="21" t="s">
        <v>348</v>
      </c>
      <c r="J8" s="35" t="s">
        <v>349</v>
      </c>
    </row>
    <row r="9" spans="2:10" ht="12.75">
      <c r="B9" s="36"/>
      <c r="C9" s="30"/>
      <c r="D9" s="30"/>
      <c r="E9" s="30"/>
      <c r="F9" s="30"/>
      <c r="G9" s="30"/>
      <c r="H9" s="30"/>
      <c r="I9" s="30"/>
      <c r="J9" s="31"/>
    </row>
    <row r="10" spans="2:10" ht="12.75">
      <c r="B10" s="36">
        <v>1</v>
      </c>
      <c r="C10" s="30" t="s">
        <v>350</v>
      </c>
      <c r="D10" s="30">
        <v>594</v>
      </c>
      <c r="E10" s="30">
        <v>87.212</v>
      </c>
      <c r="F10" s="30">
        <v>70.881</v>
      </c>
      <c r="G10" s="30">
        <v>199.648</v>
      </c>
      <c r="H10" s="30">
        <v>700</v>
      </c>
      <c r="I10" s="30">
        <v>64.271</v>
      </c>
      <c r="J10" s="31">
        <v>3.278</v>
      </c>
    </row>
    <row r="11" spans="2:10" ht="12.75">
      <c r="B11" s="36">
        <v>2</v>
      </c>
      <c r="C11" s="30" t="s">
        <v>351</v>
      </c>
      <c r="D11" s="30">
        <v>578</v>
      </c>
      <c r="E11" s="30">
        <v>106.764</v>
      </c>
      <c r="F11" s="30">
        <v>97.294</v>
      </c>
      <c r="G11" s="30">
        <v>272.663</v>
      </c>
      <c r="H11" s="30">
        <v>535</v>
      </c>
      <c r="I11" s="30">
        <v>69.974</v>
      </c>
      <c r="J11" s="31">
        <v>4.111</v>
      </c>
    </row>
    <row r="12" spans="2:10" ht="12.75">
      <c r="B12" s="36">
        <v>3</v>
      </c>
      <c r="C12" s="30" t="s">
        <v>352</v>
      </c>
      <c r="D12" s="30">
        <v>94</v>
      </c>
      <c r="E12" s="30">
        <v>21.142</v>
      </c>
      <c r="F12" s="30">
        <v>18.782</v>
      </c>
      <c r="G12" s="30">
        <v>55.75</v>
      </c>
      <c r="H12" s="30">
        <v>135</v>
      </c>
      <c r="I12" s="30">
        <v>17.046</v>
      </c>
      <c r="J12" s="31">
        <v>308</v>
      </c>
    </row>
    <row r="13" spans="2:10" ht="12.75">
      <c r="B13" s="36">
        <v>4</v>
      </c>
      <c r="C13" s="30" t="s">
        <v>353</v>
      </c>
      <c r="D13" s="30">
        <v>704</v>
      </c>
      <c r="E13" s="30">
        <v>179.897</v>
      </c>
      <c r="F13" s="30">
        <v>131.306</v>
      </c>
      <c r="G13" s="30">
        <v>352.093</v>
      </c>
      <c r="H13" s="30">
        <v>951</v>
      </c>
      <c r="I13" s="30">
        <v>95.414</v>
      </c>
      <c r="J13" s="31">
        <v>5.558</v>
      </c>
    </row>
    <row r="14" spans="2:10" ht="12.75">
      <c r="B14" s="36">
        <v>5</v>
      </c>
      <c r="C14" s="30" t="s">
        <v>354</v>
      </c>
      <c r="D14" s="30">
        <v>146</v>
      </c>
      <c r="E14" s="30">
        <v>25.774</v>
      </c>
      <c r="F14" s="30">
        <v>19.979</v>
      </c>
      <c r="G14" s="30">
        <v>60.705</v>
      </c>
      <c r="H14" s="30">
        <v>321</v>
      </c>
      <c r="I14" s="30">
        <v>19.049</v>
      </c>
      <c r="J14" s="31">
        <v>1.734</v>
      </c>
    </row>
    <row r="15" spans="2:10" ht="12.75">
      <c r="B15" s="36">
        <v>6</v>
      </c>
      <c r="C15" s="30" t="s">
        <v>355</v>
      </c>
      <c r="D15" s="30">
        <v>801</v>
      </c>
      <c r="E15" s="30">
        <v>166.546</v>
      </c>
      <c r="F15" s="30">
        <v>134.801</v>
      </c>
      <c r="G15" s="30">
        <v>380.089</v>
      </c>
      <c r="H15" s="30">
        <v>916</v>
      </c>
      <c r="I15" s="30">
        <v>107.048</v>
      </c>
      <c r="J15" s="31">
        <v>5.318</v>
      </c>
    </row>
    <row r="16" spans="2:10" ht="12.75">
      <c r="B16" s="36"/>
      <c r="C16" s="30"/>
      <c r="D16" s="30"/>
      <c r="E16" s="30"/>
      <c r="F16" s="30"/>
      <c r="G16" s="30"/>
      <c r="H16" s="30"/>
      <c r="I16" s="30"/>
      <c r="J16" s="31"/>
    </row>
    <row r="17" spans="2:10" ht="12.75">
      <c r="B17" s="36">
        <v>7</v>
      </c>
      <c r="C17" s="30" t="s">
        <v>356</v>
      </c>
      <c r="D17" s="30">
        <v>50</v>
      </c>
      <c r="E17" s="30">
        <v>7.979</v>
      </c>
      <c r="F17" s="30">
        <v>7.647</v>
      </c>
      <c r="G17" s="30">
        <v>21.627</v>
      </c>
      <c r="H17" s="30">
        <v>136</v>
      </c>
      <c r="I17" s="30">
        <v>5.771</v>
      </c>
      <c r="J17" s="31">
        <v>552</v>
      </c>
    </row>
    <row r="18" spans="2:10" ht="12.75">
      <c r="B18" s="36">
        <v>8</v>
      </c>
      <c r="C18" s="30" t="s">
        <v>357</v>
      </c>
      <c r="D18" s="30">
        <v>550</v>
      </c>
      <c r="E18" s="30">
        <v>73.023</v>
      </c>
      <c r="F18" s="30">
        <v>68.057</v>
      </c>
      <c r="G18" s="30">
        <v>186.442</v>
      </c>
      <c r="H18" s="30">
        <v>279</v>
      </c>
      <c r="I18" s="30">
        <v>52.14</v>
      </c>
      <c r="J18" s="31">
        <v>2.032</v>
      </c>
    </row>
    <row r="19" spans="2:10" ht="12.75">
      <c r="B19" s="36">
        <v>9</v>
      </c>
      <c r="C19" s="30" t="s">
        <v>358</v>
      </c>
      <c r="D19" s="30">
        <v>131</v>
      </c>
      <c r="E19" s="30">
        <v>28.464</v>
      </c>
      <c r="F19" s="30">
        <v>19.353</v>
      </c>
      <c r="G19" s="30">
        <v>55.174</v>
      </c>
      <c r="H19" s="30">
        <v>393</v>
      </c>
      <c r="I19" s="30">
        <v>15.839</v>
      </c>
      <c r="J19" s="31">
        <v>906</v>
      </c>
    </row>
    <row r="20" spans="2:10" ht="12.75">
      <c r="B20" s="36">
        <v>10</v>
      </c>
      <c r="C20" s="30" t="s">
        <v>359</v>
      </c>
      <c r="D20" s="30">
        <v>80</v>
      </c>
      <c r="E20" s="30">
        <v>18.47</v>
      </c>
      <c r="F20" s="30">
        <v>14.274</v>
      </c>
      <c r="G20" s="30">
        <v>36.657</v>
      </c>
      <c r="H20" s="30">
        <v>314</v>
      </c>
      <c r="I20" s="30">
        <v>10.349</v>
      </c>
      <c r="J20" s="31">
        <v>419</v>
      </c>
    </row>
    <row r="21" spans="2:10" ht="12.75">
      <c r="B21" s="36">
        <v>11</v>
      </c>
      <c r="C21" s="30" t="s">
        <v>360</v>
      </c>
      <c r="D21" s="30">
        <v>55</v>
      </c>
      <c r="E21" s="30">
        <v>8.511</v>
      </c>
      <c r="F21" s="30">
        <v>6.904</v>
      </c>
      <c r="G21" s="30">
        <v>20.21</v>
      </c>
      <c r="H21" s="30">
        <v>57</v>
      </c>
      <c r="I21" s="30">
        <v>6.308</v>
      </c>
      <c r="J21" s="31">
        <v>424</v>
      </c>
    </row>
    <row r="22" spans="2:10" ht="12.75">
      <c r="B22" s="36">
        <v>12</v>
      </c>
      <c r="C22" s="30" t="s">
        <v>361</v>
      </c>
      <c r="D22" s="30">
        <v>101</v>
      </c>
      <c r="E22" s="30">
        <v>19.169</v>
      </c>
      <c r="F22" s="30">
        <v>16.633</v>
      </c>
      <c r="G22" s="30">
        <v>42.928</v>
      </c>
      <c r="H22" s="30">
        <v>94</v>
      </c>
      <c r="I22" s="30">
        <v>11.114</v>
      </c>
      <c r="J22" s="31">
        <v>718</v>
      </c>
    </row>
    <row r="23" spans="2:10" ht="12.75">
      <c r="B23" s="36">
        <v>13</v>
      </c>
      <c r="C23" s="30" t="s">
        <v>362</v>
      </c>
      <c r="D23" s="30">
        <v>33</v>
      </c>
      <c r="E23" s="30">
        <v>4.919</v>
      </c>
      <c r="F23" s="30">
        <v>4.239</v>
      </c>
      <c r="G23" s="30">
        <v>11.974</v>
      </c>
      <c r="H23" s="30">
        <v>27</v>
      </c>
      <c r="I23" s="30">
        <v>3.466</v>
      </c>
      <c r="J23" s="31">
        <v>203</v>
      </c>
    </row>
    <row r="24" spans="2:10" ht="12.75">
      <c r="B24" s="36">
        <v>14</v>
      </c>
      <c r="C24" s="30" t="s">
        <v>363</v>
      </c>
      <c r="D24" s="30">
        <v>32</v>
      </c>
      <c r="E24" s="30">
        <v>5.59</v>
      </c>
      <c r="F24" s="30">
        <v>4.413</v>
      </c>
      <c r="G24" s="30">
        <v>12.62</v>
      </c>
      <c r="H24" s="30">
        <v>48</v>
      </c>
      <c r="I24" s="30">
        <v>3.908</v>
      </c>
      <c r="J24" s="31">
        <v>208</v>
      </c>
    </row>
    <row r="25" spans="2:10" ht="12.75">
      <c r="B25" s="36">
        <v>15</v>
      </c>
      <c r="C25" s="30" t="s">
        <v>364</v>
      </c>
      <c r="D25" s="30">
        <v>181</v>
      </c>
      <c r="E25" s="30">
        <v>26.861</v>
      </c>
      <c r="F25" s="30">
        <v>23.582</v>
      </c>
      <c r="G25" s="30">
        <v>68.568</v>
      </c>
      <c r="H25" s="30">
        <v>100</v>
      </c>
      <c r="I25" s="30">
        <v>19.368</v>
      </c>
      <c r="J25" s="31">
        <v>852</v>
      </c>
    </row>
    <row r="26" spans="2:10" ht="12.75">
      <c r="B26" s="36"/>
      <c r="C26" s="30"/>
      <c r="D26" s="30"/>
      <c r="E26" s="30"/>
      <c r="F26" s="30"/>
      <c r="G26" s="30"/>
      <c r="H26" s="30"/>
      <c r="I26" s="30"/>
      <c r="J26" s="31"/>
    </row>
    <row r="27" spans="2:10" ht="12.75">
      <c r="B27" s="36">
        <v>16</v>
      </c>
      <c r="C27" s="30" t="s">
        <v>365</v>
      </c>
      <c r="D27" s="30">
        <v>87</v>
      </c>
      <c r="E27" s="30">
        <v>11.539</v>
      </c>
      <c r="F27" s="30">
        <v>10.101</v>
      </c>
      <c r="G27" s="30">
        <v>28.631</v>
      </c>
      <c r="H27" s="30">
        <v>134</v>
      </c>
      <c r="I27" s="30">
        <v>8.296</v>
      </c>
      <c r="J27" s="31">
        <v>414</v>
      </c>
    </row>
    <row r="28" spans="2:10" ht="12.75">
      <c r="B28" s="36">
        <v>17</v>
      </c>
      <c r="C28" s="30" t="s">
        <v>366</v>
      </c>
      <c r="D28" s="30">
        <v>32</v>
      </c>
      <c r="E28" s="30">
        <v>4.249</v>
      </c>
      <c r="F28" s="30">
        <v>3.536</v>
      </c>
      <c r="G28" s="30">
        <v>9.906</v>
      </c>
      <c r="H28" s="30">
        <v>48</v>
      </c>
      <c r="I28" s="30">
        <v>3.262</v>
      </c>
      <c r="J28" s="31">
        <v>194</v>
      </c>
    </row>
    <row r="29" spans="2:10" ht="12.75">
      <c r="B29" s="36">
        <v>18</v>
      </c>
      <c r="C29" s="30" t="s">
        <v>367</v>
      </c>
      <c r="D29" s="30">
        <v>42</v>
      </c>
      <c r="E29" s="30">
        <v>9.24</v>
      </c>
      <c r="F29" s="30">
        <v>7.418</v>
      </c>
      <c r="G29" s="30">
        <v>20.423</v>
      </c>
      <c r="H29" s="30">
        <v>137</v>
      </c>
      <c r="I29" s="30">
        <v>6.08</v>
      </c>
      <c r="J29" s="31">
        <v>238</v>
      </c>
    </row>
    <row r="30" spans="2:10" ht="12.75">
      <c r="B30" s="36">
        <v>19</v>
      </c>
      <c r="C30" s="30" t="s">
        <v>368</v>
      </c>
      <c r="D30" s="30">
        <v>85</v>
      </c>
      <c r="E30" s="30">
        <v>16.252</v>
      </c>
      <c r="F30" s="30">
        <v>12.603</v>
      </c>
      <c r="G30" s="30">
        <v>34.929</v>
      </c>
      <c r="H30" s="30">
        <v>148</v>
      </c>
      <c r="I30" s="30">
        <v>9.791</v>
      </c>
      <c r="J30" s="31">
        <v>587</v>
      </c>
    </row>
    <row r="31" spans="2:10" ht="12.75">
      <c r="B31" s="36"/>
      <c r="C31" s="30"/>
      <c r="D31" s="30"/>
      <c r="E31" s="30"/>
      <c r="F31" s="30"/>
      <c r="G31" s="30"/>
      <c r="H31" s="30"/>
      <c r="I31" s="30"/>
      <c r="J31" s="31"/>
    </row>
    <row r="32" spans="2:10" ht="12.75">
      <c r="B32" s="36">
        <v>20</v>
      </c>
      <c r="C32" s="30" t="s">
        <v>369</v>
      </c>
      <c r="D32" s="30">
        <v>58</v>
      </c>
      <c r="E32" s="30">
        <v>8.521</v>
      </c>
      <c r="F32" s="30">
        <v>7.582</v>
      </c>
      <c r="G32" s="30">
        <v>21.09</v>
      </c>
      <c r="H32" s="30">
        <v>78</v>
      </c>
      <c r="I32" s="30">
        <v>6.154</v>
      </c>
      <c r="J32" s="31">
        <v>358</v>
      </c>
    </row>
    <row r="33" spans="2:10" ht="12.75">
      <c r="B33" s="36">
        <v>21</v>
      </c>
      <c r="C33" s="30" t="s">
        <v>370</v>
      </c>
      <c r="D33" s="30">
        <v>8</v>
      </c>
      <c r="E33" s="30">
        <v>2.839</v>
      </c>
      <c r="F33" s="30">
        <v>2.067</v>
      </c>
      <c r="G33" s="30">
        <v>5.423</v>
      </c>
      <c r="H33" s="30">
        <v>33</v>
      </c>
      <c r="I33" s="30">
        <v>1.641</v>
      </c>
      <c r="J33" s="31">
        <v>43</v>
      </c>
    </row>
    <row r="34" spans="2:10" ht="12.75">
      <c r="B34" s="36">
        <v>22</v>
      </c>
      <c r="C34" s="30" t="s">
        <v>371</v>
      </c>
      <c r="D34" s="30">
        <v>37</v>
      </c>
      <c r="E34" s="30">
        <v>5.745</v>
      </c>
      <c r="F34" s="30">
        <v>4.905</v>
      </c>
      <c r="G34" s="30">
        <v>12.094</v>
      </c>
      <c r="H34" s="30">
        <v>29</v>
      </c>
      <c r="I34" s="30">
        <v>3.7</v>
      </c>
      <c r="J34" s="31">
        <v>320</v>
      </c>
    </row>
    <row r="35" spans="2:10" ht="12.75">
      <c r="B35" s="36">
        <v>23</v>
      </c>
      <c r="C35" s="30" t="s">
        <v>372</v>
      </c>
      <c r="D35" s="30">
        <v>191</v>
      </c>
      <c r="E35" s="30">
        <v>30.485</v>
      </c>
      <c r="F35" s="30">
        <v>22.893</v>
      </c>
      <c r="G35" s="30">
        <v>64.438</v>
      </c>
      <c r="H35" s="30">
        <v>239</v>
      </c>
      <c r="I35" s="30">
        <v>18.294</v>
      </c>
      <c r="J35" s="31">
        <v>1.297</v>
      </c>
    </row>
    <row r="36" spans="2:10" ht="12.75">
      <c r="B36" s="36">
        <v>24</v>
      </c>
      <c r="C36" s="30" t="s">
        <v>373</v>
      </c>
      <c r="D36" s="30">
        <v>29</v>
      </c>
      <c r="E36" s="30">
        <v>7.024</v>
      </c>
      <c r="F36" s="30">
        <v>5.119</v>
      </c>
      <c r="G36" s="30">
        <v>12.938</v>
      </c>
      <c r="H36" s="30">
        <v>17</v>
      </c>
      <c r="I36" s="30">
        <v>3.768</v>
      </c>
      <c r="J36" s="31">
        <v>217</v>
      </c>
    </row>
    <row r="37" spans="2:10" ht="12.75">
      <c r="B37" s="36"/>
      <c r="C37" s="30"/>
      <c r="D37" s="30"/>
      <c r="E37" s="30"/>
      <c r="F37" s="30"/>
      <c r="G37" s="30"/>
      <c r="H37" s="30"/>
      <c r="I37" s="30"/>
      <c r="J37" s="31"/>
    </row>
    <row r="38" spans="2:10" ht="12.75">
      <c r="B38" s="36">
        <v>25</v>
      </c>
      <c r="C38" s="30" t="s">
        <v>374</v>
      </c>
      <c r="D38" s="30">
        <v>23</v>
      </c>
      <c r="E38" s="30">
        <v>3.881</v>
      </c>
      <c r="F38" s="30">
        <v>3.5</v>
      </c>
      <c r="G38" s="30">
        <v>8.649</v>
      </c>
      <c r="H38" s="30">
        <v>27</v>
      </c>
      <c r="I38" s="30">
        <v>3.07</v>
      </c>
      <c r="J38" s="31">
        <v>224</v>
      </c>
    </row>
    <row r="39" spans="2:10" ht="12.75">
      <c r="B39" s="36">
        <v>26</v>
      </c>
      <c r="C39" s="30" t="s">
        <v>375</v>
      </c>
      <c r="D39" s="30">
        <v>11</v>
      </c>
      <c r="E39" s="30">
        <v>1.765</v>
      </c>
      <c r="F39" s="30">
        <v>1.749</v>
      </c>
      <c r="G39" s="30">
        <v>4.1</v>
      </c>
      <c r="H39" s="30">
        <v>2</v>
      </c>
      <c r="I39" s="30">
        <v>1.481</v>
      </c>
      <c r="J39" s="31">
        <v>74</v>
      </c>
    </row>
    <row r="40" spans="2:10" ht="12.75">
      <c r="B40" s="36">
        <v>27</v>
      </c>
      <c r="C40" s="30" t="s">
        <v>376</v>
      </c>
      <c r="D40" s="30">
        <v>76</v>
      </c>
      <c r="E40" s="30">
        <v>14.615</v>
      </c>
      <c r="F40" s="30">
        <v>11.335</v>
      </c>
      <c r="G40" s="30">
        <v>33.621</v>
      </c>
      <c r="H40" s="30">
        <v>93</v>
      </c>
      <c r="I40" s="30">
        <v>9.437</v>
      </c>
      <c r="J40" s="31">
        <v>674</v>
      </c>
    </row>
    <row r="41" spans="2:10" ht="12.75">
      <c r="B41" s="36">
        <v>28</v>
      </c>
      <c r="C41" s="30" t="s">
        <v>377</v>
      </c>
      <c r="D41" s="30">
        <v>31</v>
      </c>
      <c r="E41" s="30">
        <v>8.384</v>
      </c>
      <c r="F41" s="30">
        <v>6.328</v>
      </c>
      <c r="G41" s="30">
        <v>17.45</v>
      </c>
      <c r="H41" s="30">
        <v>90</v>
      </c>
      <c r="I41" s="30">
        <v>5.15</v>
      </c>
      <c r="J41" s="31">
        <v>426</v>
      </c>
    </row>
    <row r="42" spans="2:10" ht="12.75">
      <c r="B42" s="36">
        <v>29</v>
      </c>
      <c r="C42" s="30" t="s">
        <v>378</v>
      </c>
      <c r="D42" s="30">
        <v>63</v>
      </c>
      <c r="E42" s="30">
        <v>12.368</v>
      </c>
      <c r="F42" s="30">
        <v>11.641</v>
      </c>
      <c r="G42" s="30">
        <v>28.869</v>
      </c>
      <c r="H42" s="30">
        <v>87</v>
      </c>
      <c r="I42" s="30">
        <v>7.538</v>
      </c>
      <c r="J42" s="31">
        <v>439</v>
      </c>
    </row>
    <row r="43" spans="2:10" ht="12.75">
      <c r="B43" s="36">
        <v>30</v>
      </c>
      <c r="C43" s="30" t="s">
        <v>379</v>
      </c>
      <c r="D43" s="30">
        <v>40</v>
      </c>
      <c r="E43" s="30">
        <v>8.615</v>
      </c>
      <c r="F43" s="30">
        <v>7.91</v>
      </c>
      <c r="G43" s="30">
        <v>20.044</v>
      </c>
      <c r="H43" s="30">
        <v>174</v>
      </c>
      <c r="I43" s="30">
        <v>5.594</v>
      </c>
      <c r="J43" s="31">
        <v>335</v>
      </c>
    </row>
    <row r="44" spans="2:10" ht="12.75">
      <c r="B44" s="36"/>
      <c r="C44" s="30"/>
      <c r="D44" s="30"/>
      <c r="E44" s="30"/>
      <c r="F44" s="30"/>
      <c r="G44" s="30"/>
      <c r="H44" s="30"/>
      <c r="I44" s="30"/>
      <c r="J44" s="31"/>
    </row>
    <row r="45" spans="2:10" s="18" customFormat="1" ht="13.5" thickBot="1">
      <c r="B45" s="68"/>
      <c r="C45" s="69" t="s">
        <v>380</v>
      </c>
      <c r="D45" s="70">
        <v>4943</v>
      </c>
      <c r="E45" s="69">
        <v>925843</v>
      </c>
      <c r="F45" s="70">
        <f>756832</f>
        <v>756832</v>
      </c>
      <c r="G45" s="70">
        <f>2099753</f>
        <v>2099753</v>
      </c>
      <c r="H45" s="70">
        <f>6342</f>
        <v>6342</v>
      </c>
      <c r="I45" s="69">
        <f>594321</f>
        <v>594321</v>
      </c>
      <c r="J45" s="71">
        <f>32461</f>
        <v>32461</v>
      </c>
    </row>
    <row r="46" spans="2:10" s="11" customFormat="1" ht="21" customHeight="1">
      <c r="B46" s="5" t="s">
        <v>457</v>
      </c>
      <c r="C46" s="6"/>
      <c r="D46" s="7"/>
      <c r="E46" s="74"/>
      <c r="F46" s="8">
        <f>D45</f>
        <v>4943</v>
      </c>
      <c r="G46" s="9"/>
      <c r="H46" s="9"/>
      <c r="I46" s="9"/>
      <c r="J46" s="10"/>
    </row>
    <row r="47" spans="2:10" s="11" customFormat="1" ht="15.75" thickBot="1">
      <c r="B47" s="75" t="s">
        <v>458</v>
      </c>
      <c r="C47" s="76"/>
      <c r="D47" s="77"/>
      <c r="E47" s="78"/>
      <c r="F47" s="79">
        <f>F45+G45+H45-I45</f>
        <v>2268606</v>
      </c>
      <c r="G47" s="80"/>
      <c r="H47" s="80"/>
      <c r="I47" s="80"/>
      <c r="J47" s="81"/>
    </row>
    <row r="48" spans="2:10" s="1" customFormat="1" ht="28.5" customHeight="1">
      <c r="B48" s="159" t="s">
        <v>141</v>
      </c>
      <c r="C48" s="160"/>
      <c r="D48" s="37"/>
      <c r="E48" s="37"/>
      <c r="F48" s="37"/>
      <c r="G48" s="37"/>
      <c r="H48" s="37"/>
      <c r="I48" s="37"/>
      <c r="J48" s="38"/>
    </row>
    <row r="49" spans="2:12" ht="12.75">
      <c r="B49" s="153" t="s">
        <v>427</v>
      </c>
      <c r="C49" s="154"/>
      <c r="D49" s="29"/>
      <c r="E49" s="29"/>
      <c r="F49" s="29"/>
      <c r="G49" s="29"/>
      <c r="H49" s="29"/>
      <c r="I49" s="29"/>
      <c r="J49" s="34"/>
      <c r="L49" s="19"/>
    </row>
    <row r="50" spans="2:10" ht="12.75">
      <c r="B50" s="153" t="s">
        <v>428</v>
      </c>
      <c r="C50" s="154"/>
      <c r="D50" s="154"/>
      <c r="E50" s="154"/>
      <c r="F50" s="154"/>
      <c r="G50" s="29"/>
      <c r="H50" s="29"/>
      <c r="I50" s="29"/>
      <c r="J50" s="34"/>
    </row>
    <row r="51" spans="2:10" ht="35.25" customHeight="1">
      <c r="B51" s="155" t="s">
        <v>429</v>
      </c>
      <c r="C51" s="156"/>
      <c r="D51" s="156"/>
      <c r="E51" s="30"/>
      <c r="F51" s="30"/>
      <c r="G51" s="30"/>
      <c r="H51" s="30"/>
      <c r="I51" s="30"/>
      <c r="J51" s="34" t="s">
        <v>330</v>
      </c>
    </row>
    <row r="52" spans="2:10" ht="12.75">
      <c r="B52" s="155" t="s">
        <v>331</v>
      </c>
      <c r="C52" s="156"/>
      <c r="D52" s="156"/>
      <c r="E52" s="156"/>
      <c r="F52" s="30"/>
      <c r="G52" s="30"/>
      <c r="H52" s="30"/>
      <c r="I52" s="30"/>
      <c r="J52" s="31"/>
    </row>
    <row r="53" spans="2:10" ht="12.75">
      <c r="B53" s="157" t="s">
        <v>332</v>
      </c>
      <c r="C53" s="158"/>
      <c r="D53" s="158"/>
      <c r="E53" s="158"/>
      <c r="F53" s="158"/>
      <c r="G53" s="158"/>
      <c r="H53" s="158"/>
      <c r="I53" s="30"/>
      <c r="J53" s="31"/>
    </row>
    <row r="54" spans="2:10" ht="12.75">
      <c r="B54" s="155" t="s">
        <v>425</v>
      </c>
      <c r="C54" s="156"/>
      <c r="D54" s="156"/>
      <c r="E54" s="156"/>
      <c r="F54" s="156"/>
      <c r="G54" s="156"/>
      <c r="H54" s="156"/>
      <c r="I54" s="30"/>
      <c r="J54" s="31"/>
    </row>
    <row r="55" spans="2:10" ht="12.75">
      <c r="B55" s="155" t="s">
        <v>430</v>
      </c>
      <c r="C55" s="156"/>
      <c r="D55" s="30"/>
      <c r="E55" s="30"/>
      <c r="F55" s="30"/>
      <c r="G55" s="30"/>
      <c r="H55" s="30"/>
      <c r="I55" s="30"/>
      <c r="J55" s="31"/>
    </row>
    <row r="56" spans="2:10" ht="12.75">
      <c r="B56" s="32"/>
      <c r="C56" s="20"/>
      <c r="D56" s="30"/>
      <c r="E56" s="30"/>
      <c r="F56" s="30"/>
      <c r="G56" s="30"/>
      <c r="H56" s="30"/>
      <c r="I56" s="30"/>
      <c r="J56" s="31"/>
    </row>
    <row r="57" spans="2:10" ht="12.75">
      <c r="B57" s="28" t="s">
        <v>333</v>
      </c>
      <c r="C57" s="29" t="s">
        <v>334</v>
      </c>
      <c r="D57" s="129" t="s">
        <v>431</v>
      </c>
      <c r="E57" s="129"/>
      <c r="F57" s="129"/>
      <c r="G57" s="23" t="s">
        <v>381</v>
      </c>
      <c r="H57" s="129" t="s">
        <v>432</v>
      </c>
      <c r="I57" s="129"/>
      <c r="J57" s="152"/>
    </row>
    <row r="58" spans="2:10" ht="12.75">
      <c r="B58" s="32"/>
      <c r="C58" s="21" t="s">
        <v>342</v>
      </c>
      <c r="D58" s="24" t="s">
        <v>433</v>
      </c>
      <c r="E58" s="24" t="s">
        <v>434</v>
      </c>
      <c r="F58" s="24" t="s">
        <v>435</v>
      </c>
      <c r="G58" s="21" t="s">
        <v>382</v>
      </c>
      <c r="H58" s="24" t="s">
        <v>436</v>
      </c>
      <c r="I58" s="24" t="s">
        <v>437</v>
      </c>
      <c r="J58" s="39" t="s">
        <v>438</v>
      </c>
    </row>
    <row r="59" spans="2:10" ht="12.75">
      <c r="B59" s="36"/>
      <c r="C59" s="30"/>
      <c r="D59" s="30"/>
      <c r="E59" s="30"/>
      <c r="F59" s="30"/>
      <c r="G59" s="30"/>
      <c r="H59" s="30"/>
      <c r="I59" s="30"/>
      <c r="J59" s="31"/>
    </row>
    <row r="60" spans="2:10" ht="12.75">
      <c r="B60" s="36">
        <v>1</v>
      </c>
      <c r="C60" s="30" t="s">
        <v>350</v>
      </c>
      <c r="D60" s="30">
        <v>594</v>
      </c>
      <c r="E60" s="30">
        <v>16.258</v>
      </c>
      <c r="F60" s="30">
        <v>16.852</v>
      </c>
      <c r="G60" s="30">
        <v>5.901</v>
      </c>
      <c r="H60" s="30">
        <v>5.421</v>
      </c>
      <c r="I60" s="30" t="s">
        <v>383</v>
      </c>
      <c r="J60" s="31">
        <v>5.512</v>
      </c>
    </row>
    <row r="61" spans="2:10" ht="12.75">
      <c r="B61" s="36">
        <v>2</v>
      </c>
      <c r="C61" s="30" t="s">
        <v>351</v>
      </c>
      <c r="D61" s="30">
        <v>569</v>
      </c>
      <c r="E61" s="30">
        <v>14.684</v>
      </c>
      <c r="F61" s="30">
        <v>15.253</v>
      </c>
      <c r="G61" s="30">
        <v>7.982</v>
      </c>
      <c r="H61" s="30">
        <v>5.602</v>
      </c>
      <c r="I61" s="30" t="s">
        <v>384</v>
      </c>
      <c r="J61" s="31">
        <v>6.033</v>
      </c>
    </row>
    <row r="62" spans="2:10" ht="12.75">
      <c r="B62" s="36">
        <v>3</v>
      </c>
      <c r="C62" s="30" t="s">
        <v>352</v>
      </c>
      <c r="D62" s="30">
        <v>94</v>
      </c>
      <c r="E62" s="30">
        <v>2.714</v>
      </c>
      <c r="F62" s="30">
        <v>2.808</v>
      </c>
      <c r="G62" s="30">
        <v>1.337</v>
      </c>
      <c r="H62" s="30">
        <v>1.032</v>
      </c>
      <c r="I62" s="30" t="s">
        <v>385</v>
      </c>
      <c r="J62" s="31">
        <v>1.032</v>
      </c>
    </row>
    <row r="63" spans="2:10" ht="12.75">
      <c r="B63" s="36">
        <v>4</v>
      </c>
      <c r="C63" s="30" t="s">
        <v>353</v>
      </c>
      <c r="D63" s="30">
        <v>699</v>
      </c>
      <c r="E63" s="30">
        <v>20.337</v>
      </c>
      <c r="F63" s="30">
        <v>21.036</v>
      </c>
      <c r="G63" s="30">
        <v>9.924</v>
      </c>
      <c r="H63" s="30">
        <v>6.898</v>
      </c>
      <c r="I63" s="30" t="s">
        <v>386</v>
      </c>
      <c r="J63" s="31">
        <v>7.099</v>
      </c>
    </row>
    <row r="64" spans="2:10" ht="12.75">
      <c r="B64" s="36">
        <v>5</v>
      </c>
      <c r="C64" s="30" t="s">
        <v>354</v>
      </c>
      <c r="D64" s="30">
        <v>146</v>
      </c>
      <c r="E64" s="30">
        <v>5.761</v>
      </c>
      <c r="F64" s="30">
        <v>5.907</v>
      </c>
      <c r="G64" s="30">
        <v>1.826</v>
      </c>
      <c r="H64" s="30">
        <v>1.662</v>
      </c>
      <c r="I64" s="30" t="s">
        <v>387</v>
      </c>
      <c r="J64" s="31">
        <v>1.794</v>
      </c>
    </row>
    <row r="65" spans="2:10" ht="12.75">
      <c r="B65" s="36">
        <v>6</v>
      </c>
      <c r="C65" s="30" t="s">
        <v>355</v>
      </c>
      <c r="D65" s="30">
        <v>790</v>
      </c>
      <c r="E65" s="30">
        <v>23.028</v>
      </c>
      <c r="F65" s="30">
        <v>23.818</v>
      </c>
      <c r="G65" s="30">
        <v>9.369</v>
      </c>
      <c r="H65" s="30">
        <v>6.681</v>
      </c>
      <c r="I65" s="30" t="s">
        <v>388</v>
      </c>
      <c r="J65" s="31">
        <v>7.204</v>
      </c>
    </row>
    <row r="66" spans="2:10" ht="12.75">
      <c r="B66" s="36"/>
      <c r="C66" s="30"/>
      <c r="D66" s="30"/>
      <c r="E66" s="30"/>
      <c r="F66" s="30"/>
      <c r="G66" s="30"/>
      <c r="H66" s="30"/>
      <c r="I66" s="30"/>
      <c r="J66" s="31"/>
    </row>
    <row r="67" spans="2:10" ht="12.75">
      <c r="B67" s="36">
        <v>7</v>
      </c>
      <c r="C67" s="30" t="s">
        <v>356</v>
      </c>
      <c r="D67" s="30">
        <v>47</v>
      </c>
      <c r="E67" s="30">
        <v>1.798</v>
      </c>
      <c r="F67" s="30">
        <v>1.845</v>
      </c>
      <c r="G67" s="30">
        <v>525</v>
      </c>
      <c r="H67" s="30">
        <v>457</v>
      </c>
      <c r="I67" s="30" t="s">
        <v>389</v>
      </c>
      <c r="J67" s="31">
        <v>487</v>
      </c>
    </row>
    <row r="68" spans="2:10" ht="12.75">
      <c r="B68" s="36">
        <v>8</v>
      </c>
      <c r="C68" s="30" t="s">
        <v>357</v>
      </c>
      <c r="D68" s="30">
        <v>545</v>
      </c>
      <c r="E68" s="30">
        <v>14.229</v>
      </c>
      <c r="F68" s="30">
        <v>14.774</v>
      </c>
      <c r="G68" s="30">
        <v>5.262</v>
      </c>
      <c r="H68" s="30">
        <v>4.815</v>
      </c>
      <c r="I68" s="30" t="s">
        <v>390</v>
      </c>
      <c r="J68" s="31">
        <v>5.046</v>
      </c>
    </row>
    <row r="69" spans="2:10" ht="12.75">
      <c r="B69" s="36">
        <v>9</v>
      </c>
      <c r="C69" s="30" t="s">
        <v>358</v>
      </c>
      <c r="D69" s="30">
        <v>130</v>
      </c>
      <c r="E69" s="30">
        <v>5.49</v>
      </c>
      <c r="F69" s="30">
        <v>5.62</v>
      </c>
      <c r="G69" s="30">
        <v>1.544</v>
      </c>
      <c r="H69" s="30">
        <v>1.287</v>
      </c>
      <c r="I69" s="30" t="s">
        <v>391</v>
      </c>
      <c r="J69" s="31">
        <v>1.45</v>
      </c>
    </row>
    <row r="70" spans="2:10" ht="12.75">
      <c r="B70" s="36">
        <v>10</v>
      </c>
      <c r="C70" s="30" t="s">
        <v>359</v>
      </c>
      <c r="D70" s="30">
        <v>79</v>
      </c>
      <c r="E70" s="30">
        <v>2.349</v>
      </c>
      <c r="F70" s="30">
        <v>2.428</v>
      </c>
      <c r="G70" s="30">
        <v>1.097</v>
      </c>
      <c r="H70" s="30">
        <v>904</v>
      </c>
      <c r="I70" s="30" t="s">
        <v>392</v>
      </c>
      <c r="J70" s="31">
        <v>912</v>
      </c>
    </row>
    <row r="71" spans="2:10" ht="12.75">
      <c r="B71" s="36">
        <v>11</v>
      </c>
      <c r="C71" s="30" t="s">
        <v>360</v>
      </c>
      <c r="D71" s="30">
        <v>54</v>
      </c>
      <c r="E71" s="30">
        <v>1.777</v>
      </c>
      <c r="F71" s="30">
        <v>1.831</v>
      </c>
      <c r="G71" s="30">
        <v>539</v>
      </c>
      <c r="H71" s="30">
        <v>525</v>
      </c>
      <c r="I71" s="30" t="s">
        <v>393</v>
      </c>
      <c r="J71" s="31">
        <v>543</v>
      </c>
    </row>
    <row r="72" spans="2:10" ht="12.75">
      <c r="B72" s="36">
        <v>12</v>
      </c>
      <c r="C72" s="30" t="s">
        <v>361</v>
      </c>
      <c r="D72" s="30">
        <v>101</v>
      </c>
      <c r="E72" s="30">
        <v>3.403</v>
      </c>
      <c r="F72" s="30">
        <v>3.504</v>
      </c>
      <c r="G72" s="30">
        <v>1.148</v>
      </c>
      <c r="H72" s="30">
        <v>798</v>
      </c>
      <c r="I72" s="30" t="s">
        <v>394</v>
      </c>
      <c r="J72" s="31">
        <v>859</v>
      </c>
    </row>
    <row r="73" spans="2:10" ht="12.75">
      <c r="B73" s="36">
        <v>13</v>
      </c>
      <c r="C73" s="30" t="s">
        <v>362</v>
      </c>
      <c r="D73" s="30">
        <v>33</v>
      </c>
      <c r="E73" s="30">
        <v>1.142</v>
      </c>
      <c r="F73" s="30">
        <v>1.175</v>
      </c>
      <c r="G73" s="30">
        <v>338</v>
      </c>
      <c r="H73" s="30">
        <v>286</v>
      </c>
      <c r="I73" s="30" t="s">
        <v>395</v>
      </c>
      <c r="J73" s="31">
        <v>307</v>
      </c>
    </row>
    <row r="74" spans="2:10" ht="12.75">
      <c r="B74" s="36">
        <v>14</v>
      </c>
      <c r="C74" s="30" t="s">
        <v>363</v>
      </c>
      <c r="D74" s="30">
        <v>32</v>
      </c>
      <c r="E74" s="30">
        <v>1.038</v>
      </c>
      <c r="F74" s="30">
        <v>1.07</v>
      </c>
      <c r="G74" s="30">
        <v>370</v>
      </c>
      <c r="H74" s="30">
        <v>304</v>
      </c>
      <c r="I74" s="30" t="s">
        <v>396</v>
      </c>
      <c r="J74" s="31">
        <v>352</v>
      </c>
    </row>
    <row r="75" spans="2:10" ht="12.75">
      <c r="B75" s="36">
        <v>15</v>
      </c>
      <c r="C75" s="30" t="s">
        <v>364</v>
      </c>
      <c r="D75" s="30">
        <v>179</v>
      </c>
      <c r="E75" s="30">
        <v>4.015</v>
      </c>
      <c r="F75" s="30">
        <v>4.194</v>
      </c>
      <c r="G75" s="30">
        <v>1.689</v>
      </c>
      <c r="H75" s="30">
        <v>1.578</v>
      </c>
      <c r="I75" s="30" t="s">
        <v>385</v>
      </c>
      <c r="J75" s="31">
        <v>1.578</v>
      </c>
    </row>
    <row r="76" spans="2:10" ht="12.75">
      <c r="B76" s="36"/>
      <c r="C76" s="30"/>
      <c r="D76" s="30"/>
      <c r="E76" s="30"/>
      <c r="F76" s="30"/>
      <c r="G76" s="30"/>
      <c r="H76" s="30"/>
      <c r="I76" s="30"/>
      <c r="J76" s="31"/>
    </row>
    <row r="77" spans="2:10" ht="12.75">
      <c r="B77" s="36">
        <v>16</v>
      </c>
      <c r="C77" s="30" t="s">
        <v>365</v>
      </c>
      <c r="D77" s="30">
        <v>87</v>
      </c>
      <c r="E77" s="30">
        <v>2.474</v>
      </c>
      <c r="F77" s="30">
        <v>2.561</v>
      </c>
      <c r="G77" s="30">
        <v>744</v>
      </c>
      <c r="H77" s="30">
        <v>684</v>
      </c>
      <c r="I77" s="30" t="s">
        <v>397</v>
      </c>
      <c r="J77" s="31">
        <v>709</v>
      </c>
    </row>
    <row r="78" spans="2:10" ht="12.75">
      <c r="B78" s="36">
        <v>17</v>
      </c>
      <c r="C78" s="30" t="s">
        <v>366</v>
      </c>
      <c r="D78" s="30">
        <v>32</v>
      </c>
      <c r="E78" s="30">
        <v>873</v>
      </c>
      <c r="F78" s="30">
        <v>905</v>
      </c>
      <c r="G78" s="30">
        <v>314</v>
      </c>
      <c r="H78" s="30">
        <v>286</v>
      </c>
      <c r="I78" s="30" t="s">
        <v>398</v>
      </c>
      <c r="J78" s="31">
        <v>312</v>
      </c>
    </row>
    <row r="79" spans="2:10" ht="12.75">
      <c r="B79" s="36">
        <v>18</v>
      </c>
      <c r="C79" s="30" t="s">
        <v>367</v>
      </c>
      <c r="D79" s="30">
        <v>41</v>
      </c>
      <c r="E79" s="30">
        <v>1.427</v>
      </c>
      <c r="F79" s="30">
        <v>1.468</v>
      </c>
      <c r="G79" s="30">
        <v>530</v>
      </c>
      <c r="H79" s="30">
        <v>439</v>
      </c>
      <c r="I79" s="30" t="s">
        <v>399</v>
      </c>
      <c r="J79" s="31">
        <v>462</v>
      </c>
    </row>
    <row r="80" spans="2:10" ht="12.75">
      <c r="B80" s="36">
        <v>19</v>
      </c>
      <c r="C80" s="30" t="s">
        <v>368</v>
      </c>
      <c r="D80" s="30">
        <v>84</v>
      </c>
      <c r="E80" s="30">
        <v>2.441</v>
      </c>
      <c r="F80" s="30">
        <v>2.525</v>
      </c>
      <c r="G80" s="30">
        <v>835</v>
      </c>
      <c r="H80" s="30">
        <v>797</v>
      </c>
      <c r="I80" s="30" t="s">
        <v>400</v>
      </c>
      <c r="J80" s="31">
        <v>830</v>
      </c>
    </row>
    <row r="81" spans="2:10" ht="12.75">
      <c r="B81" s="36"/>
      <c r="C81" s="30"/>
      <c r="D81" s="30"/>
      <c r="E81" s="30"/>
      <c r="F81" s="30"/>
      <c r="G81" s="30"/>
      <c r="H81" s="30"/>
      <c r="I81" s="30"/>
      <c r="J81" s="31"/>
    </row>
    <row r="82" spans="2:10" ht="12.75">
      <c r="B82" s="36">
        <v>20</v>
      </c>
      <c r="C82" s="30" t="s">
        <v>369</v>
      </c>
      <c r="D82" s="30">
        <v>58</v>
      </c>
      <c r="E82" s="30">
        <v>1.543</v>
      </c>
      <c r="F82" s="30">
        <v>1.601</v>
      </c>
      <c r="G82" s="30">
        <v>602</v>
      </c>
      <c r="H82" s="30">
        <v>503</v>
      </c>
      <c r="I82" s="30" t="s">
        <v>401</v>
      </c>
      <c r="J82" s="31">
        <v>590</v>
      </c>
    </row>
    <row r="83" spans="2:10" ht="12.75">
      <c r="B83" s="36">
        <v>21</v>
      </c>
      <c r="C83" s="30" t="s">
        <v>370</v>
      </c>
      <c r="D83" s="30">
        <v>8</v>
      </c>
      <c r="E83" s="30">
        <v>390</v>
      </c>
      <c r="F83" s="30">
        <v>398</v>
      </c>
      <c r="G83" s="30">
        <v>156</v>
      </c>
      <c r="H83" s="30">
        <v>118</v>
      </c>
      <c r="I83" s="30" t="s">
        <v>385</v>
      </c>
      <c r="J83" s="31">
        <v>118</v>
      </c>
    </row>
    <row r="84" spans="2:10" ht="12.75">
      <c r="B84" s="36">
        <v>22</v>
      </c>
      <c r="C84" s="30" t="s">
        <v>371</v>
      </c>
      <c r="D84" s="30">
        <v>33</v>
      </c>
      <c r="E84" s="30">
        <v>977</v>
      </c>
      <c r="F84" s="30">
        <v>1.01</v>
      </c>
      <c r="G84" s="30">
        <v>345</v>
      </c>
      <c r="H84" s="30">
        <v>319</v>
      </c>
      <c r="I84" s="30" t="s">
        <v>402</v>
      </c>
      <c r="J84" s="31">
        <v>346</v>
      </c>
    </row>
    <row r="85" spans="2:10" ht="12.75">
      <c r="B85" s="36">
        <v>23</v>
      </c>
      <c r="C85" s="30" t="s">
        <v>372</v>
      </c>
      <c r="D85" s="30">
        <v>187</v>
      </c>
      <c r="E85" s="30">
        <v>5.399</v>
      </c>
      <c r="F85" s="30">
        <v>5.586</v>
      </c>
      <c r="G85" s="30">
        <v>1.877</v>
      </c>
      <c r="H85" s="30">
        <v>1.599</v>
      </c>
      <c r="I85" s="30" t="s">
        <v>403</v>
      </c>
      <c r="J85" s="31">
        <v>1.822</v>
      </c>
    </row>
    <row r="86" spans="2:10" ht="12.75">
      <c r="B86" s="36">
        <v>24</v>
      </c>
      <c r="C86" s="30" t="s">
        <v>373</v>
      </c>
      <c r="D86" s="30">
        <v>27</v>
      </c>
      <c r="E86" s="30">
        <v>951</v>
      </c>
      <c r="F86" s="30">
        <v>978</v>
      </c>
      <c r="G86" s="30">
        <v>326</v>
      </c>
      <c r="H86" s="30">
        <v>319</v>
      </c>
      <c r="I86" s="30" t="s">
        <v>404</v>
      </c>
      <c r="J86" s="31">
        <v>336</v>
      </c>
    </row>
    <row r="87" spans="2:10" ht="12.75">
      <c r="B87" s="36"/>
      <c r="C87" s="30"/>
      <c r="D87" s="30"/>
      <c r="E87" s="30"/>
      <c r="F87" s="30"/>
      <c r="G87" s="30"/>
      <c r="H87" s="30"/>
      <c r="I87" s="30"/>
      <c r="J87" s="31"/>
    </row>
    <row r="88" spans="2:10" ht="12.75">
      <c r="B88" s="36">
        <v>25</v>
      </c>
      <c r="C88" s="30" t="s">
        <v>374</v>
      </c>
      <c r="D88" s="30">
        <v>21</v>
      </c>
      <c r="E88" s="30">
        <v>685</v>
      </c>
      <c r="F88" s="30">
        <v>706</v>
      </c>
      <c r="G88" s="30">
        <v>278</v>
      </c>
      <c r="H88" s="30">
        <v>189</v>
      </c>
      <c r="I88" s="30" t="s">
        <v>405</v>
      </c>
      <c r="J88" s="31">
        <v>234</v>
      </c>
    </row>
    <row r="89" spans="2:10" ht="12.75">
      <c r="B89" s="36">
        <v>26</v>
      </c>
      <c r="C89" s="30" t="s">
        <v>375</v>
      </c>
      <c r="D89" s="30">
        <v>10</v>
      </c>
      <c r="E89" s="30">
        <v>346</v>
      </c>
      <c r="F89" s="30">
        <v>356</v>
      </c>
      <c r="G89" s="30">
        <v>96</v>
      </c>
      <c r="H89" s="30">
        <v>90</v>
      </c>
      <c r="I89" s="30" t="s">
        <v>406</v>
      </c>
      <c r="J89" s="31">
        <v>99</v>
      </c>
    </row>
    <row r="90" spans="2:10" ht="12.75">
      <c r="B90" s="36">
        <v>27</v>
      </c>
      <c r="C90" s="30" t="s">
        <v>376</v>
      </c>
      <c r="D90" s="30">
        <v>76</v>
      </c>
      <c r="E90" s="30">
        <v>2.789</v>
      </c>
      <c r="F90" s="30">
        <v>2.865</v>
      </c>
      <c r="G90" s="30">
        <v>992</v>
      </c>
      <c r="H90" s="30">
        <v>778</v>
      </c>
      <c r="I90" s="30" t="s">
        <v>407</v>
      </c>
      <c r="J90" s="31">
        <v>845</v>
      </c>
    </row>
    <row r="91" spans="2:10" ht="12.75">
      <c r="B91" s="36">
        <v>28</v>
      </c>
      <c r="C91" s="30" t="s">
        <v>377</v>
      </c>
      <c r="D91" s="30">
        <v>29</v>
      </c>
      <c r="E91" s="30">
        <v>1.377</v>
      </c>
      <c r="F91" s="30">
        <v>1.406</v>
      </c>
      <c r="G91" s="30">
        <v>446</v>
      </c>
      <c r="H91" s="30">
        <v>376</v>
      </c>
      <c r="I91" s="30" t="s">
        <v>408</v>
      </c>
      <c r="J91" s="31">
        <v>396</v>
      </c>
    </row>
    <row r="92" spans="2:10" ht="12.75">
      <c r="B92" s="36">
        <v>29</v>
      </c>
      <c r="C92" s="30" t="s">
        <v>378</v>
      </c>
      <c r="D92" s="30">
        <v>61</v>
      </c>
      <c r="E92" s="30">
        <v>1.746</v>
      </c>
      <c r="F92" s="30">
        <v>1.807</v>
      </c>
      <c r="G92" s="30">
        <v>761</v>
      </c>
      <c r="H92" s="30">
        <v>734</v>
      </c>
      <c r="I92" s="30" t="s">
        <v>409</v>
      </c>
      <c r="J92" s="31">
        <v>738</v>
      </c>
    </row>
    <row r="93" spans="2:10" ht="12.75">
      <c r="B93" s="36">
        <v>30</v>
      </c>
      <c r="C93" s="30" t="s">
        <v>379</v>
      </c>
      <c r="D93" s="30">
        <v>40</v>
      </c>
      <c r="E93" s="30">
        <v>1.232</v>
      </c>
      <c r="F93" s="30">
        <v>1.272</v>
      </c>
      <c r="G93" s="30">
        <v>601</v>
      </c>
      <c r="H93" s="30">
        <v>524</v>
      </c>
      <c r="I93" s="30" t="s">
        <v>385</v>
      </c>
      <c r="J93" s="31">
        <v>524</v>
      </c>
    </row>
    <row r="94" spans="2:10" ht="12.75">
      <c r="B94" s="36"/>
      <c r="C94" s="30"/>
      <c r="D94" s="30"/>
      <c r="E94" s="30"/>
      <c r="F94" s="30"/>
      <c r="G94" s="30"/>
      <c r="H94" s="30"/>
      <c r="I94" s="30"/>
      <c r="J94" s="31"/>
    </row>
    <row r="95" spans="2:10" ht="13.5" thickBot="1">
      <c r="B95" s="40"/>
      <c r="C95" s="23" t="s">
        <v>380</v>
      </c>
      <c r="D95" s="70">
        <f>4886</f>
        <v>4886</v>
      </c>
      <c r="E95" s="70">
        <f>142673</f>
        <v>142673</v>
      </c>
      <c r="F95" s="69">
        <f>147559</f>
        <v>147559</v>
      </c>
      <c r="G95" s="69">
        <f>57754</f>
        <v>57754</v>
      </c>
      <c r="H95" s="69">
        <f>46005</f>
        <v>46005</v>
      </c>
      <c r="I95" s="69">
        <f>2564</f>
        <v>2564</v>
      </c>
      <c r="J95" s="71">
        <f>48569</f>
        <v>48569</v>
      </c>
    </row>
    <row r="96" spans="2:10" ht="15">
      <c r="B96" s="82" t="s">
        <v>410</v>
      </c>
      <c r="C96" s="83"/>
      <c r="D96" s="84"/>
      <c r="E96" s="72"/>
      <c r="F96" s="85">
        <f>D95</f>
        <v>4886</v>
      </c>
      <c r="G96" s="25"/>
      <c r="H96" s="25"/>
      <c r="I96" s="25"/>
      <c r="J96" s="27"/>
    </row>
    <row r="97" spans="2:10" ht="15.75" thickBot="1">
      <c r="B97" s="12" t="s">
        <v>459</v>
      </c>
      <c r="C97" s="13"/>
      <c r="D97" s="14"/>
      <c r="E97" s="73"/>
      <c r="F97" s="15">
        <f>E95</f>
        <v>142673</v>
      </c>
      <c r="G97" s="3"/>
      <c r="H97" s="3"/>
      <c r="I97" s="3"/>
      <c r="J97" s="4"/>
    </row>
    <row r="98" spans="2:10" ht="12.75">
      <c r="B98" s="28"/>
      <c r="C98" s="29"/>
      <c r="D98" s="29"/>
      <c r="E98" s="29"/>
      <c r="F98" s="29"/>
      <c r="G98" s="29"/>
      <c r="H98" s="29"/>
      <c r="I98" s="29"/>
      <c r="J98" s="34"/>
    </row>
    <row r="99" spans="2:10" ht="12.75">
      <c r="B99" s="153" t="s">
        <v>439</v>
      </c>
      <c r="C99" s="154"/>
      <c r="D99" s="29"/>
      <c r="E99" s="29"/>
      <c r="F99" s="29"/>
      <c r="G99" s="29"/>
      <c r="H99" s="29"/>
      <c r="I99" s="29"/>
      <c r="J99" s="34"/>
    </row>
    <row r="100" spans="2:10" ht="12.75">
      <c r="B100" s="153" t="s">
        <v>440</v>
      </c>
      <c r="C100" s="154"/>
      <c r="D100" s="154"/>
      <c r="E100" s="154"/>
      <c r="F100" s="29"/>
      <c r="G100" s="29"/>
      <c r="H100" s="29"/>
      <c r="I100" s="29"/>
      <c r="J100" s="34"/>
    </row>
    <row r="101" spans="2:10" ht="13.5" thickBot="1">
      <c r="B101" s="127" t="s">
        <v>441</v>
      </c>
      <c r="C101" s="128"/>
      <c r="D101" s="128"/>
      <c r="E101" s="3"/>
      <c r="F101" s="3"/>
      <c r="G101" s="3"/>
      <c r="H101" s="3"/>
      <c r="I101" s="3"/>
      <c r="J101" s="4"/>
    </row>
  </sheetData>
  <mergeCells count="18">
    <mergeCell ref="B1:C1"/>
    <mergeCell ref="B2:E2"/>
    <mergeCell ref="B3:H3"/>
    <mergeCell ref="B4:H4"/>
    <mergeCell ref="B5:C5"/>
    <mergeCell ref="B49:C49"/>
    <mergeCell ref="B50:F50"/>
    <mergeCell ref="B51:D51"/>
    <mergeCell ref="B48:C48"/>
    <mergeCell ref="B52:E52"/>
    <mergeCell ref="B53:H53"/>
    <mergeCell ref="B54:H54"/>
    <mergeCell ref="B55:C55"/>
    <mergeCell ref="B101:D101"/>
    <mergeCell ref="D57:F57"/>
    <mergeCell ref="H57:J57"/>
    <mergeCell ref="B99:C99"/>
    <mergeCell ref="B100:E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Jati, Budi Wahyu</dc:creator>
  <cp:keywords/>
  <dc:description/>
  <cp:lastModifiedBy>bjati</cp:lastModifiedBy>
  <dcterms:created xsi:type="dcterms:W3CDTF">2005-02-21T12:38:59Z</dcterms:created>
  <dcterms:modified xsi:type="dcterms:W3CDTF">2005-03-25T13:47:56Z</dcterms:modified>
  <cp:category/>
  <cp:version/>
  <cp:contentType/>
  <cp:contentStatus/>
</cp:coreProperties>
</file>