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normal" sheetId="1" r:id="rId1"/>
    <sheet name="dg interkoneksi" sheetId="2" r:id="rId2"/>
    <sheet name="topologi" sheetId="3" r:id="rId3"/>
  </sheets>
  <definedNames/>
  <calcPr fullCalcOnLoad="1"/>
</workbook>
</file>

<file path=xl/sharedStrings.xml><?xml version="1.0" encoding="utf-8"?>
<sst xmlns="http://schemas.openxmlformats.org/spreadsheetml/2006/main" count="408" uniqueCount="132">
  <si>
    <t>/bulan</t>
  </si>
  <si>
    <t>abodemen incoming</t>
  </si>
  <si>
    <t>abodemen outgoing</t>
  </si>
  <si>
    <t>/bulan/line</t>
  </si>
  <si>
    <t>/bulan/E1</t>
  </si>
  <si>
    <t>Kbps</t>
  </si>
  <si>
    <t>Kbps (minimal 512Kbps)</t>
  </si>
  <si>
    <t>abodemen in+out</t>
  </si>
  <si>
    <t>(butuh 2 E1, satu utk incoming, satu outgoing)</t>
  </si>
  <si>
    <t>/bulan/2E1</t>
  </si>
  <si>
    <t>BW LC / E1 in+out</t>
  </si>
  <si>
    <t>abodemen LC / E1</t>
  </si>
  <si>
    <t>/bulan/lc</t>
  </si>
  <si>
    <t>BW VoIP</t>
  </si>
  <si>
    <t>fixed cost</t>
  </si>
  <si>
    <t>parameter produksi</t>
  </si>
  <si>
    <t>menit/line</t>
  </si>
  <si>
    <t>max menit/bulan</t>
  </si>
  <si>
    <t>menit/E1</t>
  </si>
  <si>
    <t>okupansi</t>
  </si>
  <si>
    <t>persen</t>
  </si>
  <si>
    <t>real menit/bulan</t>
  </si>
  <si>
    <t>topologi jaringan</t>
  </si>
  <si>
    <t>node remote</t>
  </si>
  <si>
    <t>node</t>
  </si>
  <si>
    <t>node lokal</t>
  </si>
  <si>
    <t>total E1 in+out</t>
  </si>
  <si>
    <t>E1 in+out</t>
  </si>
  <si>
    <t>spare remote node</t>
  </si>
  <si>
    <t>spare lokal</t>
  </si>
  <si>
    <t>spare E1 in+out</t>
  </si>
  <si>
    <t>E1 in+out (asumsi 30%)</t>
  </si>
  <si>
    <t>produksi total menit</t>
  </si>
  <si>
    <t>menit/bulan</t>
  </si>
  <si>
    <t>pendapatan</t>
  </si>
  <si>
    <t>(2 x produksi menit)</t>
  </si>
  <si>
    <t>variable cost</t>
  </si>
  <si>
    <t>tarif lokal</t>
  </si>
  <si>
    <t>/2 menit</t>
  </si>
  <si>
    <t>/menit</t>
  </si>
  <si>
    <t>trafic lokal</t>
  </si>
  <si>
    <t>abodemen E1</t>
  </si>
  <si>
    <t>(E1 produksi + spare)</t>
  </si>
  <si>
    <t>abodemen LC</t>
  </si>
  <si>
    <t>total kebutuhan LC</t>
  </si>
  <si>
    <t>LC</t>
  </si>
  <si>
    <t>(ke Telkom DIVRE)</t>
  </si>
  <si>
    <t>(ke Telkom DIVNET)</t>
  </si>
  <si>
    <t>sewa space di sentral</t>
  </si>
  <si>
    <t>tarif VoIP</t>
  </si>
  <si>
    <t>tarif SLJJ</t>
  </si>
  <si>
    <t>gross revenue VoIP</t>
  </si>
  <si>
    <t>(ke penguasa VoIP)</t>
  </si>
  <si>
    <t>Opportunity SLJJ</t>
  </si>
  <si>
    <t>(ke Telkom)</t>
  </si>
  <si>
    <t>pengeluaran</t>
  </si>
  <si>
    <t>PPN (10%)</t>
  </si>
  <si>
    <t>PPh (1.5%)</t>
  </si>
  <si>
    <t>BHP (2%)</t>
  </si>
  <si>
    <t>sewa kantor</t>
  </si>
  <si>
    <t>gaji karyawan</t>
  </si>
  <si>
    <t>telepon</t>
  </si>
  <si>
    <t>utility</t>
  </si>
  <si>
    <t>total per node</t>
  </si>
  <si>
    <t>pemasaran</t>
  </si>
  <si>
    <t>operasional kantor</t>
  </si>
  <si>
    <t>(jumlah node x biaya operasional / node)</t>
  </si>
  <si>
    <t>biaya operasional / node</t>
  </si>
  <si>
    <t>total pengeluaran</t>
  </si>
  <si>
    <t>USO (2.5%)</t>
  </si>
  <si>
    <t>usd</t>
  </si>
  <si>
    <t>rp</t>
  </si>
  <si>
    <t>kewajiban sebagai operator</t>
  </si>
  <si>
    <t>(ke kantor pajak)</t>
  </si>
  <si>
    <t>(ke POSTEL)</t>
  </si>
  <si>
    <t>bangun SST</t>
  </si>
  <si>
    <t>/SST</t>
  </si>
  <si>
    <t>total kewajiban</t>
  </si>
  <si>
    <t>investasi peralatan</t>
  </si>
  <si>
    <t>gateway / line</t>
  </si>
  <si>
    <t>/line</t>
  </si>
  <si>
    <t>gateway / E1</t>
  </si>
  <si>
    <t>/E1</t>
  </si>
  <si>
    <t>gateway / E1 in+out</t>
  </si>
  <si>
    <t>/E1 I+O</t>
  </si>
  <si>
    <t xml:space="preserve">Router </t>
  </si>
  <si>
    <t>'/buah</t>
  </si>
  <si>
    <t>/buah</t>
  </si>
  <si>
    <t>Gatekeeper</t>
  </si>
  <si>
    <t>(kelas Clarents)</t>
  </si>
  <si>
    <t>Billing</t>
  </si>
  <si>
    <t>(masuk ke Clarents)</t>
  </si>
  <si>
    <t>Kebutuhan Gateway</t>
  </si>
  <si>
    <t>Kebutuhan Router</t>
  </si>
  <si>
    <t>Kebutuhan Gatekeeper</t>
  </si>
  <si>
    <t>Kebutuhan Billing</t>
  </si>
  <si>
    <t>Network Manajemen</t>
  </si>
  <si>
    <t>(SNMP based)</t>
  </si>
  <si>
    <t>Kebutuhan Network Manajemen</t>
  </si>
  <si>
    <t>Total Kebutuhan Investasi</t>
  </si>
  <si>
    <t xml:space="preserve">pengeluaran </t>
  </si>
  <si>
    <t>sisa revenue</t>
  </si>
  <si>
    <t>kembali investasi</t>
  </si>
  <si>
    <t>bulan</t>
  </si>
  <si>
    <t>reinvestasi jaringan</t>
  </si>
  <si>
    <t>reinvest network</t>
  </si>
  <si>
    <t>SST/bulan</t>
  </si>
  <si>
    <t>SST/tahun</t>
  </si>
  <si>
    <t>distribusi rejeki</t>
  </si>
  <si>
    <t>total uang beredar</t>
  </si>
  <si>
    <t>Telkom DIVRE</t>
  </si>
  <si>
    <t>Telkom DIVNET</t>
  </si>
  <si>
    <t>sewa space sentral</t>
  </si>
  <si>
    <t>/ bulan</t>
  </si>
  <si>
    <t>Kantor Pajak</t>
  </si>
  <si>
    <t>POSTEL BHP</t>
  </si>
  <si>
    <t>Jaringan Telekom</t>
  </si>
  <si>
    <t>Operasional</t>
  </si>
  <si>
    <t>%</t>
  </si>
  <si>
    <t>okupansi jaringan</t>
  </si>
  <si>
    <t>(harga Telkom interkoneksi)</t>
  </si>
  <si>
    <t>Loss SLJJ</t>
  </si>
  <si>
    <t xml:space="preserve">Untung </t>
  </si>
  <si>
    <t>Untung</t>
  </si>
  <si>
    <t>(kelas Cisco 2500)</t>
  </si>
  <si>
    <t>E1 di lokal</t>
  </si>
  <si>
    <t>pemeliharaan (10%)</t>
  </si>
  <si>
    <t>sisa kapasitas</t>
  </si>
  <si>
    <t>US$/bulan</t>
  </si>
  <si>
    <t>Rp/bulan</t>
  </si>
  <si>
    <t>tarif terminasi</t>
  </si>
  <si>
    <t>US$/menit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</si>
</sst>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Rp-421]#,##0"/>
    <numFmt numFmtId="165" formatCode="[$Rp-421]#,##0.0"/>
    <numFmt numFmtId="166" formatCode="[$Rp-421]#,##0.00"/>
    <numFmt numFmtId="167" formatCode="[$Rp-421]#,##0.000"/>
    <numFmt numFmtId="168" formatCode="&quot;$&quot;#,##0"/>
    <numFmt numFmtId="169" formatCode="0.0"/>
    <numFmt numFmtId="170" formatCode="&quot;$&quot;#,##0.00"/>
    <numFmt numFmtId="171" formatCode="_([$Rp-421]* #,##0_);_([$Rp-421]* \(#,##0\);_([$Rp-421]* &quot;-&quot;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11</xdr:col>
      <xdr:colOff>123825</xdr:colOff>
      <xdr:row>57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67375"/>
          <a:ext cx="6829425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92">
      <selection activeCell="C80" sqref="C80"/>
    </sheetView>
  </sheetViews>
  <sheetFormatPr defaultColWidth="9.140625" defaultRowHeight="12.75"/>
  <cols>
    <col min="3" max="3" width="19.00390625" style="0" customWidth="1"/>
    <col min="5" max="5" width="15.140625" style="0" bestFit="1" customWidth="1"/>
    <col min="7" max="7" width="17.421875" style="0" bestFit="1" customWidth="1"/>
  </cols>
  <sheetData>
    <row r="1" spans="1:4" ht="12.75">
      <c r="A1" s="3" t="s">
        <v>36</v>
      </c>
      <c r="C1" s="2"/>
      <c r="D1" s="1"/>
    </row>
    <row r="2" spans="1:4" ht="12.75">
      <c r="A2" s="4" t="s">
        <v>37</v>
      </c>
      <c r="C2" s="2">
        <v>167</v>
      </c>
      <c r="D2" s="1" t="s">
        <v>38</v>
      </c>
    </row>
    <row r="3" spans="1:4" ht="12.75">
      <c r="A3" s="4" t="s">
        <v>37</v>
      </c>
      <c r="C3" s="2">
        <f>C2/2</f>
        <v>83.5</v>
      </c>
      <c r="D3" s="1" t="s">
        <v>39</v>
      </c>
    </row>
    <row r="4" spans="1:4" ht="12.75">
      <c r="A4" s="4" t="s">
        <v>130</v>
      </c>
      <c r="C4" s="10">
        <v>0.05</v>
      </c>
      <c r="D4" t="s">
        <v>131</v>
      </c>
    </row>
    <row r="5" spans="1:4" ht="12.75">
      <c r="A5" s="4" t="s">
        <v>70</v>
      </c>
      <c r="C5" s="2">
        <v>10500</v>
      </c>
      <c r="D5" t="s">
        <v>71</v>
      </c>
    </row>
    <row r="6" spans="1:4" ht="12.75">
      <c r="A6" s="4" t="s">
        <v>75</v>
      </c>
      <c r="C6" s="8">
        <v>1000</v>
      </c>
      <c r="D6" s="1" t="s">
        <v>76</v>
      </c>
    </row>
    <row r="8" ht="12.75">
      <c r="A8" s="3" t="s">
        <v>22</v>
      </c>
    </row>
    <row r="9" spans="1:4" ht="12.75">
      <c r="A9" s="4" t="s">
        <v>23</v>
      </c>
      <c r="C9">
        <v>6</v>
      </c>
      <c r="D9" t="s">
        <v>24</v>
      </c>
    </row>
    <row r="10" spans="1:4" ht="12.75">
      <c r="A10" s="4" t="s">
        <v>25</v>
      </c>
      <c r="C10">
        <v>1</v>
      </c>
      <c r="D10" t="s">
        <v>24</v>
      </c>
    </row>
    <row r="11" spans="1:4" ht="12.75">
      <c r="A11" s="4" t="s">
        <v>26</v>
      </c>
      <c r="C11">
        <v>28</v>
      </c>
      <c r="D11" t="s">
        <v>27</v>
      </c>
    </row>
    <row r="12" spans="1:4" ht="12.75">
      <c r="A12" s="4" t="s">
        <v>125</v>
      </c>
      <c r="C12">
        <v>8</v>
      </c>
      <c r="D12" t="s">
        <v>27</v>
      </c>
    </row>
    <row r="13" spans="1:4" ht="12.75">
      <c r="A13" s="4" t="s">
        <v>28</v>
      </c>
      <c r="C13">
        <f>C9</f>
        <v>6</v>
      </c>
      <c r="D13" t="s">
        <v>24</v>
      </c>
    </row>
    <row r="14" spans="1:4" ht="12.75">
      <c r="A14" s="4" t="s">
        <v>29</v>
      </c>
      <c r="C14">
        <v>0</v>
      </c>
      <c r="D14" t="s">
        <v>24</v>
      </c>
    </row>
    <row r="15" spans="1:4" ht="12.75">
      <c r="A15" s="4" t="s">
        <v>30</v>
      </c>
      <c r="C15">
        <f>ROUNDUP(C11*0.3,0)</f>
        <v>9</v>
      </c>
      <c r="D15" t="s">
        <v>31</v>
      </c>
    </row>
    <row r="17" ht="12.75">
      <c r="A17" s="3" t="s">
        <v>14</v>
      </c>
    </row>
    <row r="18" spans="1:6" ht="12.75">
      <c r="A18" t="s">
        <v>1</v>
      </c>
      <c r="C18" s="2">
        <v>40000</v>
      </c>
      <c r="D18" s="1" t="s">
        <v>3</v>
      </c>
      <c r="E18" s="2">
        <f>C18*30</f>
        <v>1200000</v>
      </c>
      <c r="F18" s="1" t="s">
        <v>4</v>
      </c>
    </row>
    <row r="19" spans="1:6" ht="12.75">
      <c r="A19" t="s">
        <v>2</v>
      </c>
      <c r="C19" s="2">
        <v>1320000</v>
      </c>
      <c r="D19" s="1" t="s">
        <v>3</v>
      </c>
      <c r="E19" s="2">
        <f>C19*30</f>
        <v>39600000</v>
      </c>
      <c r="F19" s="1" t="s">
        <v>4</v>
      </c>
    </row>
    <row r="20" spans="1:7" ht="12.75">
      <c r="A20" t="s">
        <v>7</v>
      </c>
      <c r="C20" s="2">
        <f>SUM(C18:C19)</f>
        <v>1360000</v>
      </c>
      <c r="D20" s="1" t="s">
        <v>3</v>
      </c>
      <c r="E20" s="2">
        <f>SUM(E18:E19)</f>
        <v>40800000</v>
      </c>
      <c r="F20" s="1" t="s">
        <v>9</v>
      </c>
      <c r="G20" t="s">
        <v>8</v>
      </c>
    </row>
    <row r="21" spans="1:4" ht="12.75">
      <c r="A21" t="s">
        <v>13</v>
      </c>
      <c r="C21">
        <v>16</v>
      </c>
      <c r="D21" t="s">
        <v>5</v>
      </c>
    </row>
    <row r="22" spans="1:4" ht="12.75">
      <c r="A22" t="s">
        <v>10</v>
      </c>
      <c r="C22">
        <f>30*C21</f>
        <v>480</v>
      </c>
      <c r="D22" t="s">
        <v>6</v>
      </c>
    </row>
    <row r="23" spans="1:4" ht="12.75">
      <c r="A23" t="s">
        <v>11</v>
      </c>
      <c r="C23" s="2">
        <v>12000000</v>
      </c>
      <c r="D23" s="1" t="s">
        <v>12</v>
      </c>
    </row>
    <row r="24" spans="1:4" ht="12.75">
      <c r="A24" t="s">
        <v>48</v>
      </c>
      <c r="C24" s="2">
        <v>0</v>
      </c>
      <c r="D24" s="1" t="s">
        <v>0</v>
      </c>
    </row>
    <row r="25" spans="3:4" ht="12.75">
      <c r="C25" s="2"/>
      <c r="D25" s="1"/>
    </row>
    <row r="26" spans="1:4" ht="12.75">
      <c r="A26" s="3" t="s">
        <v>78</v>
      </c>
      <c r="C26" s="2"/>
      <c r="D26" s="1"/>
    </row>
    <row r="27" spans="1:6" ht="12.75">
      <c r="A27" t="s">
        <v>79</v>
      </c>
      <c r="C27" s="8">
        <v>50</v>
      </c>
      <c r="D27" s="1" t="s">
        <v>80</v>
      </c>
      <c r="E27" s="2">
        <f>C27*C5</f>
        <v>525000</v>
      </c>
      <c r="F27" s="1" t="s">
        <v>80</v>
      </c>
    </row>
    <row r="28" spans="1:6" ht="12.75">
      <c r="A28" t="s">
        <v>81</v>
      </c>
      <c r="C28" s="8">
        <f>30*C27</f>
        <v>1500</v>
      </c>
      <c r="D28" s="1" t="s">
        <v>82</v>
      </c>
      <c r="E28" s="2">
        <f>C28*C5</f>
        <v>15750000</v>
      </c>
      <c r="F28" s="1" t="s">
        <v>82</v>
      </c>
    </row>
    <row r="29" spans="1:6" ht="12.75">
      <c r="A29" t="s">
        <v>83</v>
      </c>
      <c r="C29" s="8">
        <f>C28*2</f>
        <v>3000</v>
      </c>
      <c r="D29" s="1" t="s">
        <v>84</v>
      </c>
      <c r="E29" s="2">
        <f>2*E28</f>
        <v>31500000</v>
      </c>
      <c r="F29" s="1" t="s">
        <v>84</v>
      </c>
    </row>
    <row r="30" spans="1:7" ht="12.75">
      <c r="A30" t="s">
        <v>85</v>
      </c>
      <c r="C30" s="8">
        <v>1500</v>
      </c>
      <c r="D30" s="1" t="s">
        <v>87</v>
      </c>
      <c r="E30" s="2">
        <f>C30*C5</f>
        <v>15750000</v>
      </c>
      <c r="F30" s="1" t="s">
        <v>87</v>
      </c>
      <c r="G30" t="s">
        <v>124</v>
      </c>
    </row>
    <row r="31" spans="1:7" ht="12.75">
      <c r="A31" t="s">
        <v>88</v>
      </c>
      <c r="C31" s="8">
        <v>35000</v>
      </c>
      <c r="D31" s="1" t="s">
        <v>87</v>
      </c>
      <c r="E31" s="2">
        <f>C31*C5</f>
        <v>367500000</v>
      </c>
      <c r="F31" s="1" t="s">
        <v>86</v>
      </c>
      <c r="G31" t="s">
        <v>89</v>
      </c>
    </row>
    <row r="32" spans="1:7" ht="12.75">
      <c r="A32" t="s">
        <v>90</v>
      </c>
      <c r="C32" s="8">
        <v>0</v>
      </c>
      <c r="D32" s="1" t="s">
        <v>87</v>
      </c>
      <c r="E32" s="2">
        <f>C32*C5</f>
        <v>0</v>
      </c>
      <c r="F32" s="1" t="s">
        <v>87</v>
      </c>
      <c r="G32" t="s">
        <v>91</v>
      </c>
    </row>
    <row r="33" spans="1:7" ht="12.75">
      <c r="A33" t="s">
        <v>96</v>
      </c>
      <c r="C33" s="8">
        <v>1000</v>
      </c>
      <c r="D33" s="1" t="s">
        <v>87</v>
      </c>
      <c r="E33" s="2">
        <f>C33*C5</f>
        <v>10500000</v>
      </c>
      <c r="F33" s="1" t="s">
        <v>87</v>
      </c>
      <c r="G33" t="s">
        <v>97</v>
      </c>
    </row>
    <row r="34" spans="3:6" ht="12.75">
      <c r="C34" s="8"/>
      <c r="D34" s="1"/>
      <c r="E34" s="2"/>
      <c r="F34" s="1"/>
    </row>
    <row r="35" spans="1:6" ht="12.75">
      <c r="A35" t="s">
        <v>92</v>
      </c>
      <c r="C35" s="8"/>
      <c r="D35" s="1"/>
      <c r="E35" s="2">
        <f>E29*(C11+C15)*2</f>
        <v>2331000000</v>
      </c>
      <c r="F35" s="1"/>
    </row>
    <row r="36" spans="1:6" ht="12.75">
      <c r="A36" t="s">
        <v>93</v>
      </c>
      <c r="C36" s="8"/>
      <c r="D36" s="1"/>
      <c r="E36" s="2">
        <f>E30*(C9+C10)</f>
        <v>110250000</v>
      </c>
      <c r="F36" s="1"/>
    </row>
    <row r="37" spans="1:6" ht="12.75">
      <c r="A37" t="s">
        <v>94</v>
      </c>
      <c r="C37" s="2"/>
      <c r="D37" s="1"/>
      <c r="E37" s="2">
        <f>E31*(C9+C10)</f>
        <v>2572500000</v>
      </c>
      <c r="F37" s="1"/>
    </row>
    <row r="38" spans="1:6" ht="12.75">
      <c r="A38" t="s">
        <v>95</v>
      </c>
      <c r="C38" s="2"/>
      <c r="D38" s="1"/>
      <c r="E38" s="2">
        <f>E32</f>
        <v>0</v>
      </c>
      <c r="F38" s="1"/>
    </row>
    <row r="39" spans="1:6" ht="12.75">
      <c r="A39" t="s">
        <v>98</v>
      </c>
      <c r="C39" s="2"/>
      <c r="D39" s="1"/>
      <c r="E39" s="2">
        <f>E33</f>
        <v>10500000</v>
      </c>
      <c r="F39" s="1"/>
    </row>
    <row r="40" spans="1:6" ht="12.75">
      <c r="A40" t="s">
        <v>99</v>
      </c>
      <c r="C40" s="2"/>
      <c r="D40" s="1"/>
      <c r="E40" s="2">
        <f>SUM(E35:E39)</f>
        <v>5024250000</v>
      </c>
      <c r="F40" s="1"/>
    </row>
    <row r="41" spans="3:6" ht="12.75">
      <c r="C41" s="2"/>
      <c r="D41" s="1"/>
      <c r="E41" s="2"/>
      <c r="F41" s="1"/>
    </row>
    <row r="42" spans="1:4" ht="12.75">
      <c r="A42" s="4"/>
      <c r="C42" s="2"/>
      <c r="D42" s="1"/>
    </row>
    <row r="43" ht="12.75">
      <c r="A43" s="3" t="s">
        <v>15</v>
      </c>
    </row>
    <row r="44" spans="1:4" ht="12.75">
      <c r="A44" s="4" t="s">
        <v>49</v>
      </c>
      <c r="C44" s="2">
        <v>500</v>
      </c>
      <c r="D44" s="1" t="s">
        <v>39</v>
      </c>
    </row>
    <row r="45" spans="1:4" ht="12.75">
      <c r="A45" s="4" t="s">
        <v>50</v>
      </c>
      <c r="C45" s="2">
        <v>1440</v>
      </c>
      <c r="D45" s="1" t="s">
        <v>39</v>
      </c>
    </row>
    <row r="46" spans="1:4" ht="12.75">
      <c r="A46" s="4" t="s">
        <v>19</v>
      </c>
      <c r="C46">
        <f>C90</f>
        <v>36</v>
      </c>
      <c r="D46" t="s">
        <v>20</v>
      </c>
    </row>
    <row r="47" spans="1:6" ht="12.75">
      <c r="A47" t="s">
        <v>17</v>
      </c>
      <c r="C47">
        <f>30*24*60</f>
        <v>43200</v>
      </c>
      <c r="D47" s="1" t="s">
        <v>16</v>
      </c>
      <c r="E47">
        <f>30*C47</f>
        <v>1296000</v>
      </c>
      <c r="F47" t="s">
        <v>18</v>
      </c>
    </row>
    <row r="48" spans="1:6" ht="12.75">
      <c r="A48" t="s">
        <v>21</v>
      </c>
      <c r="C48">
        <f>C47*C46/100</f>
        <v>15552</v>
      </c>
      <c r="D48" t="s">
        <v>16</v>
      </c>
      <c r="E48">
        <f>E47*C46/100</f>
        <v>466560</v>
      </c>
      <c r="F48" t="s">
        <v>18</v>
      </c>
    </row>
    <row r="49" spans="1:4" ht="12.75">
      <c r="A49" t="s">
        <v>32</v>
      </c>
      <c r="C49">
        <f>E48*C11</f>
        <v>13063680</v>
      </c>
      <c r="D49" t="s">
        <v>33</v>
      </c>
    </row>
    <row r="50" spans="1:8" ht="12.75">
      <c r="A50" t="s">
        <v>127</v>
      </c>
      <c r="C50">
        <f>C11*(E47-E48)</f>
        <v>23224320</v>
      </c>
      <c r="D50" t="s">
        <v>33</v>
      </c>
      <c r="E50" s="10">
        <f>C50*C4</f>
        <v>1161216</v>
      </c>
      <c r="F50" t="s">
        <v>128</v>
      </c>
      <c r="G50" s="11">
        <f>E50*C5</f>
        <v>12192768000</v>
      </c>
      <c r="H50" t="s">
        <v>129</v>
      </c>
    </row>
    <row r="51" spans="1:6" ht="12.75">
      <c r="A51" t="s">
        <v>44</v>
      </c>
      <c r="C51">
        <f>(C11+C15)-C12</f>
        <v>29</v>
      </c>
      <c r="D51" t="s">
        <v>45</v>
      </c>
      <c r="E51">
        <f>C22*C51</f>
        <v>13920</v>
      </c>
      <c r="F51" t="s">
        <v>5</v>
      </c>
    </row>
    <row r="53" ht="12.75">
      <c r="A53" s="3" t="s">
        <v>34</v>
      </c>
    </row>
    <row r="54" spans="1:7" ht="12.75">
      <c r="A54" t="s">
        <v>40</v>
      </c>
      <c r="C54" s="2">
        <f>C49*C3*2</f>
        <v>2181634560</v>
      </c>
      <c r="D54" s="1" t="s">
        <v>0</v>
      </c>
      <c r="E54" t="s">
        <v>35</v>
      </c>
      <c r="G54" t="s">
        <v>46</v>
      </c>
    </row>
    <row r="55" spans="1:7" ht="12.75">
      <c r="A55" t="s">
        <v>41</v>
      </c>
      <c r="C55" s="2">
        <f>(C11+C15)*E20</f>
        <v>1509600000</v>
      </c>
      <c r="D55" s="1" t="s">
        <v>0</v>
      </c>
      <c r="E55" t="s">
        <v>42</v>
      </c>
      <c r="G55" t="s">
        <v>46</v>
      </c>
    </row>
    <row r="56" spans="1:7" ht="12.75">
      <c r="A56" t="s">
        <v>43</v>
      </c>
      <c r="C56" s="2">
        <f>C51*C23</f>
        <v>348000000</v>
      </c>
      <c r="D56" s="1" t="s">
        <v>0</v>
      </c>
      <c r="G56" t="s">
        <v>47</v>
      </c>
    </row>
    <row r="57" spans="1:7" ht="12.75">
      <c r="A57" t="s">
        <v>51</v>
      </c>
      <c r="C57" s="2">
        <f>C49*C44</f>
        <v>6531840000</v>
      </c>
      <c r="D57" s="1" t="s">
        <v>0</v>
      </c>
      <c r="G57" t="s">
        <v>52</v>
      </c>
    </row>
    <row r="58" spans="1:7" ht="12.75">
      <c r="A58" t="s">
        <v>53</v>
      </c>
      <c r="C58" s="2">
        <f>C49*C45</f>
        <v>18811699200</v>
      </c>
      <c r="D58" s="1" t="s">
        <v>0</v>
      </c>
      <c r="G58" t="s">
        <v>54</v>
      </c>
    </row>
    <row r="59" spans="3:4" ht="12.75">
      <c r="C59" s="2"/>
      <c r="D59" s="1"/>
    </row>
    <row r="60" spans="1:4" ht="12.75">
      <c r="A60" s="3" t="s">
        <v>67</v>
      </c>
      <c r="C60" s="2"/>
      <c r="D60" s="1"/>
    </row>
    <row r="61" spans="1:4" ht="12.75">
      <c r="A61" s="4" t="s">
        <v>59</v>
      </c>
      <c r="C61" s="2">
        <v>5000000</v>
      </c>
      <c r="D61" s="1" t="s">
        <v>0</v>
      </c>
    </row>
    <row r="62" spans="1:4" ht="12.75">
      <c r="A62" s="4" t="s">
        <v>60</v>
      </c>
      <c r="C62" s="2">
        <v>20000000</v>
      </c>
      <c r="D62" s="1" t="s">
        <v>0</v>
      </c>
    </row>
    <row r="63" spans="1:4" ht="12.75">
      <c r="A63" s="4" t="s">
        <v>61</v>
      </c>
      <c r="C63" s="2">
        <v>3000000</v>
      </c>
      <c r="D63" s="1" t="s">
        <v>0</v>
      </c>
    </row>
    <row r="64" spans="1:4" ht="12.75">
      <c r="A64" s="4" t="s">
        <v>62</v>
      </c>
      <c r="C64" s="2">
        <v>1000000</v>
      </c>
      <c r="D64" s="1" t="s">
        <v>0</v>
      </c>
    </row>
    <row r="65" spans="1:4" ht="12.75">
      <c r="A65" s="4" t="s">
        <v>64</v>
      </c>
      <c r="C65" s="2">
        <v>10000000</v>
      </c>
      <c r="D65" s="1" t="s">
        <v>0</v>
      </c>
    </row>
    <row r="66" spans="1:4" ht="12.75">
      <c r="A66" s="4" t="s">
        <v>63</v>
      </c>
      <c r="C66" s="2">
        <f>SUM(C61:C65)</f>
        <v>39000000</v>
      </c>
      <c r="D66" s="1" t="s">
        <v>0</v>
      </c>
    </row>
    <row r="68" ht="12.75">
      <c r="A68" s="3" t="s">
        <v>55</v>
      </c>
    </row>
    <row r="69" spans="1:7" ht="12.75">
      <c r="A69" t="s">
        <v>41</v>
      </c>
      <c r="C69" s="2">
        <f>C55</f>
        <v>1509600000</v>
      </c>
      <c r="D69" s="1" t="s">
        <v>0</v>
      </c>
      <c r="E69" t="s">
        <v>42</v>
      </c>
      <c r="G69" t="s">
        <v>46</v>
      </c>
    </row>
    <row r="70" spans="1:7" ht="12.75">
      <c r="A70" t="s">
        <v>43</v>
      </c>
      <c r="C70" s="2">
        <f>C56</f>
        <v>348000000</v>
      </c>
      <c r="D70" s="1" t="s">
        <v>0</v>
      </c>
      <c r="G70" t="s">
        <v>47</v>
      </c>
    </row>
    <row r="71" spans="1:7" ht="12.75">
      <c r="A71" t="s">
        <v>112</v>
      </c>
      <c r="C71" s="2">
        <f>0</f>
        <v>0</v>
      </c>
      <c r="D71" s="1" t="s">
        <v>113</v>
      </c>
      <c r="G71" t="s">
        <v>46</v>
      </c>
    </row>
    <row r="72" spans="1:7" ht="12.75">
      <c r="A72" t="s">
        <v>56</v>
      </c>
      <c r="C72" s="5">
        <f>0.1*C57</f>
        <v>653184000</v>
      </c>
      <c r="D72" s="1" t="s">
        <v>0</v>
      </c>
      <c r="G72" t="s">
        <v>73</v>
      </c>
    </row>
    <row r="73" spans="1:7" ht="12.75">
      <c r="A73" t="s">
        <v>57</v>
      </c>
      <c r="C73" s="7">
        <f>0.015*C57</f>
        <v>97977600</v>
      </c>
      <c r="D73" s="1" t="s">
        <v>0</v>
      </c>
      <c r="G73" t="s">
        <v>73</v>
      </c>
    </row>
    <row r="74" spans="1:5" ht="12.75">
      <c r="A74" t="s">
        <v>65</v>
      </c>
      <c r="C74" s="2">
        <f>C66*(C9+C10)</f>
        <v>273000000</v>
      </c>
      <c r="D74" s="1" t="s">
        <v>0</v>
      </c>
      <c r="E74" t="s">
        <v>66</v>
      </c>
    </row>
    <row r="75" spans="1:4" ht="12.75">
      <c r="A75" t="s">
        <v>68</v>
      </c>
      <c r="C75" s="2">
        <f>SUM(C69:C74)</f>
        <v>2881761600</v>
      </c>
      <c r="D75" s="1" t="s">
        <v>0</v>
      </c>
    </row>
    <row r="77" ht="12.75">
      <c r="A77" s="3" t="s">
        <v>72</v>
      </c>
    </row>
    <row r="78" spans="1:4" ht="12.75">
      <c r="A78" s="4" t="s">
        <v>104</v>
      </c>
      <c r="C78">
        <f>C91</f>
        <v>40</v>
      </c>
      <c r="D78" t="s">
        <v>20</v>
      </c>
    </row>
    <row r="79" spans="1:7" ht="12.75">
      <c r="A79" t="s">
        <v>58</v>
      </c>
      <c r="C79" s="6">
        <f>0.02*C57</f>
        <v>130636800</v>
      </c>
      <c r="D79" s="1" t="s">
        <v>0</v>
      </c>
      <c r="G79" t="s">
        <v>74</v>
      </c>
    </row>
    <row r="80" spans="1:7" ht="12.75">
      <c r="A80" t="s">
        <v>69</v>
      </c>
      <c r="C80" s="7">
        <f>0.025*C57</f>
        <v>163296000</v>
      </c>
      <c r="D80" s="1" t="s">
        <v>0</v>
      </c>
      <c r="G80" t="s">
        <v>74</v>
      </c>
    </row>
    <row r="81" spans="1:8" ht="12.75">
      <c r="A81" t="s">
        <v>105</v>
      </c>
      <c r="C81" s="5">
        <f>C57*C78/100</f>
        <v>2612736000</v>
      </c>
      <c r="D81" s="1" t="s">
        <v>0</v>
      </c>
      <c r="E81">
        <f>ROUNDDOWN(C81/(C6*C5),0)</f>
        <v>248</v>
      </c>
      <c r="F81" s="1" t="s">
        <v>106</v>
      </c>
      <c r="G81">
        <f>12*E81</f>
        <v>2976</v>
      </c>
      <c r="H81" s="1" t="s">
        <v>107</v>
      </c>
    </row>
    <row r="82" spans="1:4" ht="12.75">
      <c r="A82" t="s">
        <v>126</v>
      </c>
      <c r="C82" s="5">
        <f>0.1*C57</f>
        <v>653184000</v>
      </c>
      <c r="D82" s="1" t="s">
        <v>0</v>
      </c>
    </row>
    <row r="83" spans="1:4" ht="12.75">
      <c r="A83" t="s">
        <v>77</v>
      </c>
      <c r="C83" s="6">
        <f>SUM(C79:C82)</f>
        <v>3559852800</v>
      </c>
      <c r="D83" s="1" t="s">
        <v>0</v>
      </c>
    </row>
    <row r="85" spans="1:4" ht="12.75">
      <c r="A85" t="s">
        <v>100</v>
      </c>
      <c r="C85" s="6">
        <f>C83+C75</f>
        <v>6441614400</v>
      </c>
      <c r="D85" s="1" t="s">
        <v>0</v>
      </c>
    </row>
    <row r="86" spans="1:4" ht="12.75">
      <c r="A86" t="s">
        <v>101</v>
      </c>
      <c r="C86" s="6">
        <f>C57-C85</f>
        <v>90225600</v>
      </c>
      <c r="D86" s="1" t="s">
        <v>0</v>
      </c>
    </row>
    <row r="87" spans="1:4" ht="12.75">
      <c r="A87" t="s">
        <v>102</v>
      </c>
      <c r="C87">
        <f>ROUNDUP(E40/C86,0)</f>
        <v>56</v>
      </c>
      <c r="D87" t="s">
        <v>103</v>
      </c>
    </row>
    <row r="89" ht="12.75">
      <c r="A89" s="3" t="s">
        <v>108</v>
      </c>
    </row>
    <row r="90" spans="1:4" ht="12.75">
      <c r="A90" s="4" t="s">
        <v>119</v>
      </c>
      <c r="C90">
        <v>36</v>
      </c>
      <c r="D90" t="s">
        <v>118</v>
      </c>
    </row>
    <row r="91" spans="1:4" ht="12.75">
      <c r="A91" s="4" t="s">
        <v>104</v>
      </c>
      <c r="C91">
        <v>40</v>
      </c>
      <c r="D91" t="s">
        <v>118</v>
      </c>
    </row>
    <row r="92" spans="1:4" ht="12.75">
      <c r="A92" t="s">
        <v>109</v>
      </c>
      <c r="C92" s="2">
        <f>C57+C54</f>
        <v>8713474560</v>
      </c>
      <c r="D92" s="1" t="s">
        <v>0</v>
      </c>
    </row>
    <row r="93" spans="1:6" ht="12.75">
      <c r="A93" t="s">
        <v>110</v>
      </c>
      <c r="C93" s="2">
        <f>C69+C54+C71</f>
        <v>3691234560</v>
      </c>
      <c r="D93" s="1" t="s">
        <v>0</v>
      </c>
      <c r="E93" s="9">
        <f>C93*100/C92</f>
        <v>42.36237260558433</v>
      </c>
      <c r="F93" t="s">
        <v>118</v>
      </c>
    </row>
    <row r="94" spans="1:6" ht="12.75">
      <c r="A94" t="s">
        <v>111</v>
      </c>
      <c r="C94" s="2">
        <f>C70</f>
        <v>348000000</v>
      </c>
      <c r="D94" s="1" t="s">
        <v>0</v>
      </c>
      <c r="E94" s="9">
        <f>C94*100/C92</f>
        <v>3.99381438028781</v>
      </c>
      <c r="F94" t="s">
        <v>118</v>
      </c>
    </row>
    <row r="95" spans="1:6" ht="12.75">
      <c r="A95" t="s">
        <v>114</v>
      </c>
      <c r="C95" s="5">
        <f>SUM(C72:C73)</f>
        <v>751161600</v>
      </c>
      <c r="D95" s="1" t="s">
        <v>0</v>
      </c>
      <c r="E95" s="9">
        <f>C95*100/C92</f>
        <v>8.620689655172415</v>
      </c>
      <c r="F95" t="s">
        <v>118</v>
      </c>
    </row>
    <row r="96" spans="1:6" ht="12.75">
      <c r="A96" t="s">
        <v>115</v>
      </c>
      <c r="C96" s="6">
        <f>C79</f>
        <v>130636800</v>
      </c>
      <c r="D96" s="1" t="s">
        <v>0</v>
      </c>
      <c r="E96" s="9">
        <f>C96*100/C92</f>
        <v>1.4992503748125936</v>
      </c>
      <c r="F96" t="s">
        <v>118</v>
      </c>
    </row>
    <row r="97" spans="1:6" ht="12.75">
      <c r="A97" t="s">
        <v>116</v>
      </c>
      <c r="C97" s="7">
        <f>C81+C82+C80</f>
        <v>3429216000</v>
      </c>
      <c r="D97" s="1" t="s">
        <v>0</v>
      </c>
      <c r="E97" s="9">
        <f>C97*100/C92</f>
        <v>39.35532233883058</v>
      </c>
      <c r="F97" t="s">
        <v>118</v>
      </c>
    </row>
    <row r="98" spans="1:6" ht="12.75">
      <c r="A98" t="s">
        <v>117</v>
      </c>
      <c r="C98" s="2">
        <f>C74</f>
        <v>273000000</v>
      </c>
      <c r="D98" s="1" t="s">
        <v>0</v>
      </c>
      <c r="E98" s="9">
        <f>C98*100/C92</f>
        <v>3.1330785224671613</v>
      </c>
      <c r="F98" t="s">
        <v>118</v>
      </c>
    </row>
    <row r="99" spans="1:6" ht="12.75">
      <c r="A99" t="s">
        <v>122</v>
      </c>
      <c r="C99" s="2">
        <f>C86</f>
        <v>90225600</v>
      </c>
      <c r="D99" s="1" t="s">
        <v>0</v>
      </c>
      <c r="E99" s="9">
        <f>C99*100/C92</f>
        <v>1.035472122845103</v>
      </c>
      <c r="F99" t="s">
        <v>118</v>
      </c>
    </row>
    <row r="101" spans="1:6" ht="12.75">
      <c r="A101" t="s">
        <v>121</v>
      </c>
      <c r="C101" s="2">
        <f>C58-C93-C94</f>
        <v>14772464640</v>
      </c>
      <c r="D101" s="1" t="s">
        <v>0</v>
      </c>
      <c r="E101" s="9">
        <f>C101*100/C58</f>
        <v>78.52807172251617</v>
      </c>
      <c r="F101" t="s">
        <v>118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68">
      <selection activeCell="C91" sqref="C91"/>
    </sheetView>
  </sheetViews>
  <sheetFormatPr defaultColWidth="9.140625" defaultRowHeight="12.75"/>
  <cols>
    <col min="3" max="3" width="18.28125" style="0" customWidth="1"/>
    <col min="5" max="5" width="18.28125" style="0" customWidth="1"/>
  </cols>
  <sheetData>
    <row r="1" spans="1:4" ht="12.75">
      <c r="A1" s="3" t="s">
        <v>36</v>
      </c>
      <c r="C1" s="2"/>
      <c r="D1" s="1"/>
    </row>
    <row r="2" spans="1:4" ht="12.75">
      <c r="A2" s="4" t="s">
        <v>37</v>
      </c>
      <c r="C2" s="2">
        <v>167</v>
      </c>
      <c r="D2" s="1" t="s">
        <v>38</v>
      </c>
    </row>
    <row r="3" spans="1:4" ht="12.75">
      <c r="A3" s="4" t="s">
        <v>37</v>
      </c>
      <c r="C3" s="2">
        <f>C2/2</f>
        <v>83.5</v>
      </c>
      <c r="D3" s="1" t="s">
        <v>39</v>
      </c>
    </row>
    <row r="4" spans="1:4" ht="12.75">
      <c r="A4" s="4" t="s">
        <v>70</v>
      </c>
      <c r="C4" s="2">
        <v>10500</v>
      </c>
      <c r="D4" t="s">
        <v>71</v>
      </c>
    </row>
    <row r="5" spans="1:4" ht="12.75">
      <c r="A5" s="4" t="s">
        <v>75</v>
      </c>
      <c r="C5" s="8">
        <v>1000</v>
      </c>
      <c r="D5" s="1" t="s">
        <v>76</v>
      </c>
    </row>
    <row r="7" ht="12.75">
      <c r="A7" s="3" t="s">
        <v>22</v>
      </c>
    </row>
    <row r="8" spans="1:4" ht="12.75">
      <c r="A8" s="4" t="s">
        <v>23</v>
      </c>
      <c r="C8">
        <v>6</v>
      </c>
      <c r="D8" t="s">
        <v>24</v>
      </c>
    </row>
    <row r="9" spans="1:4" ht="12.75">
      <c r="A9" s="4" t="s">
        <v>25</v>
      </c>
      <c r="C9">
        <v>1</v>
      </c>
      <c r="D9" t="s">
        <v>24</v>
      </c>
    </row>
    <row r="10" spans="1:4" ht="12.75">
      <c r="A10" s="4" t="s">
        <v>26</v>
      </c>
      <c r="C10">
        <v>28</v>
      </c>
      <c r="D10" t="s">
        <v>27</v>
      </c>
    </row>
    <row r="11" spans="1:4" ht="12.75">
      <c r="A11" s="4" t="s">
        <v>125</v>
      </c>
      <c r="C11">
        <v>8</v>
      </c>
      <c r="D11" t="s">
        <v>27</v>
      </c>
    </row>
    <row r="12" spans="1:4" ht="12.75">
      <c r="A12" s="4" t="s">
        <v>28</v>
      </c>
      <c r="C12">
        <f>C8</f>
        <v>6</v>
      </c>
      <c r="D12" t="s">
        <v>24</v>
      </c>
    </row>
    <row r="13" spans="1:4" ht="12.75">
      <c r="A13" s="4" t="s">
        <v>29</v>
      </c>
      <c r="C13">
        <v>0</v>
      </c>
      <c r="D13" t="s">
        <v>24</v>
      </c>
    </row>
    <row r="14" spans="1:4" ht="12.75">
      <c r="A14" s="4" t="s">
        <v>30</v>
      </c>
      <c r="C14">
        <f>ROUNDUP(C10*0.3,0)</f>
        <v>9</v>
      </c>
      <c r="D14" t="s">
        <v>31</v>
      </c>
    </row>
    <row r="16" ht="12.75">
      <c r="A16" s="3" t="s">
        <v>14</v>
      </c>
    </row>
    <row r="17" spans="1:6" ht="12.75">
      <c r="A17" t="s">
        <v>1</v>
      </c>
      <c r="C17" s="2">
        <v>40000</v>
      </c>
      <c r="D17" s="1" t="s">
        <v>3</v>
      </c>
      <c r="E17" s="2">
        <f>C17*30</f>
        <v>1200000</v>
      </c>
      <c r="F17" s="1" t="s">
        <v>4</v>
      </c>
    </row>
    <row r="18" spans="1:7" ht="12.75">
      <c r="A18" t="s">
        <v>2</v>
      </c>
      <c r="C18" s="2"/>
      <c r="D18" s="1"/>
      <c r="E18" s="8">
        <v>10000</v>
      </c>
      <c r="F18" s="1" t="s">
        <v>4</v>
      </c>
      <c r="G18" t="s">
        <v>120</v>
      </c>
    </row>
    <row r="19" spans="1:6" ht="12.75">
      <c r="A19" t="s">
        <v>2</v>
      </c>
      <c r="C19" s="2">
        <f>E19/30</f>
        <v>3500000</v>
      </c>
      <c r="D19" s="1" t="s">
        <v>3</v>
      </c>
      <c r="E19" s="2">
        <f>E18*C4</f>
        <v>105000000</v>
      </c>
      <c r="F19" s="1" t="s">
        <v>4</v>
      </c>
    </row>
    <row r="20" spans="1:7" ht="12.75">
      <c r="A20" t="s">
        <v>7</v>
      </c>
      <c r="C20" s="2">
        <f>SUM(C17:C19)</f>
        <v>3540000</v>
      </c>
      <c r="D20" s="1" t="s">
        <v>3</v>
      </c>
      <c r="E20" s="2">
        <f>SUM(E17:E19)</f>
        <v>106210000</v>
      </c>
      <c r="F20" s="1" t="s">
        <v>9</v>
      </c>
      <c r="G20" t="s">
        <v>8</v>
      </c>
    </row>
    <row r="21" spans="1:4" ht="12.75">
      <c r="A21" t="s">
        <v>13</v>
      </c>
      <c r="C21">
        <v>16</v>
      </c>
      <c r="D21" t="s">
        <v>5</v>
      </c>
    </row>
    <row r="22" spans="1:4" ht="12.75">
      <c r="A22" t="s">
        <v>10</v>
      </c>
      <c r="C22">
        <f>30*C21</f>
        <v>480</v>
      </c>
      <c r="D22" t="s">
        <v>6</v>
      </c>
    </row>
    <row r="23" spans="1:4" ht="12.75">
      <c r="A23" t="s">
        <v>11</v>
      </c>
      <c r="C23" s="2">
        <v>12000000</v>
      </c>
      <c r="D23" s="1" t="s">
        <v>12</v>
      </c>
    </row>
    <row r="24" spans="1:4" ht="12.75">
      <c r="A24" t="s">
        <v>48</v>
      </c>
      <c r="C24" s="2">
        <v>0</v>
      </c>
      <c r="D24" s="1" t="s">
        <v>0</v>
      </c>
    </row>
    <row r="25" spans="3:4" ht="12.75">
      <c r="C25" s="2"/>
      <c r="D25" s="1"/>
    </row>
    <row r="26" spans="1:4" ht="12.75">
      <c r="A26" s="3" t="s">
        <v>78</v>
      </c>
      <c r="C26" s="2"/>
      <c r="D26" s="1"/>
    </row>
    <row r="27" spans="1:6" ht="12.75">
      <c r="A27" t="s">
        <v>79</v>
      </c>
      <c r="C27" s="8">
        <v>50</v>
      </c>
      <c r="D27" s="1" t="s">
        <v>80</v>
      </c>
      <c r="E27" s="2">
        <f>C27*C4</f>
        <v>525000</v>
      </c>
      <c r="F27" s="1" t="s">
        <v>80</v>
      </c>
    </row>
    <row r="28" spans="1:6" ht="12.75">
      <c r="A28" t="s">
        <v>81</v>
      </c>
      <c r="C28" s="8">
        <f>30*C27</f>
        <v>1500</v>
      </c>
      <c r="D28" s="1" t="s">
        <v>82</v>
      </c>
      <c r="E28" s="2">
        <f>C28*C4</f>
        <v>15750000</v>
      </c>
      <c r="F28" s="1" t="s">
        <v>82</v>
      </c>
    </row>
    <row r="29" spans="1:6" ht="12.75">
      <c r="A29" t="s">
        <v>83</v>
      </c>
      <c r="C29" s="8">
        <f>C28*2</f>
        <v>3000</v>
      </c>
      <c r="D29" s="1" t="s">
        <v>84</v>
      </c>
      <c r="E29" s="2">
        <f>2*E28</f>
        <v>31500000</v>
      </c>
      <c r="F29" s="1" t="s">
        <v>84</v>
      </c>
    </row>
    <row r="30" spans="1:7" ht="12.75">
      <c r="A30" t="s">
        <v>85</v>
      </c>
      <c r="C30" s="8">
        <v>1500</v>
      </c>
      <c r="D30" s="1" t="s">
        <v>87</v>
      </c>
      <c r="E30" s="2">
        <f>C30*C4</f>
        <v>15750000</v>
      </c>
      <c r="F30" s="1" t="s">
        <v>87</v>
      </c>
      <c r="G30" t="s">
        <v>124</v>
      </c>
    </row>
    <row r="31" spans="1:7" ht="12.75">
      <c r="A31" t="s">
        <v>88</v>
      </c>
      <c r="C31" s="8">
        <v>35000</v>
      </c>
      <c r="D31" s="1" t="s">
        <v>87</v>
      </c>
      <c r="E31" s="2">
        <f>C31*C4</f>
        <v>367500000</v>
      </c>
      <c r="F31" s="1" t="s">
        <v>86</v>
      </c>
      <c r="G31" t="s">
        <v>89</v>
      </c>
    </row>
    <row r="32" spans="1:7" ht="12.75">
      <c r="A32" t="s">
        <v>90</v>
      </c>
      <c r="C32" s="8">
        <v>0</v>
      </c>
      <c r="D32" s="1" t="s">
        <v>87</v>
      </c>
      <c r="E32" s="2">
        <f>C32*C4</f>
        <v>0</v>
      </c>
      <c r="F32" s="1" t="s">
        <v>87</v>
      </c>
      <c r="G32" t="s">
        <v>91</v>
      </c>
    </row>
    <row r="33" spans="1:7" ht="12.75">
      <c r="A33" t="s">
        <v>96</v>
      </c>
      <c r="C33" s="8">
        <v>1000</v>
      </c>
      <c r="D33" s="1" t="s">
        <v>87</v>
      </c>
      <c r="E33" s="2">
        <f>C33*C4</f>
        <v>10500000</v>
      </c>
      <c r="F33" s="1" t="s">
        <v>87</v>
      </c>
      <c r="G33" t="s">
        <v>97</v>
      </c>
    </row>
    <row r="34" spans="3:6" ht="12.75">
      <c r="C34" s="8"/>
      <c r="D34" s="1"/>
      <c r="E34" s="2"/>
      <c r="F34" s="1"/>
    </row>
    <row r="35" spans="1:6" ht="12.75">
      <c r="A35" t="s">
        <v>92</v>
      </c>
      <c r="C35" s="8"/>
      <c r="D35" s="1"/>
      <c r="E35" s="2">
        <f>E29*(C10+C14)*2</f>
        <v>2331000000</v>
      </c>
      <c r="F35" s="1"/>
    </row>
    <row r="36" spans="1:6" ht="12.75">
      <c r="A36" t="s">
        <v>93</v>
      </c>
      <c r="C36" s="8"/>
      <c r="D36" s="1"/>
      <c r="E36" s="2">
        <f>E30*(C8+C9)</f>
        <v>110250000</v>
      </c>
      <c r="F36" s="1"/>
    </row>
    <row r="37" spans="1:6" ht="12.75">
      <c r="A37" t="s">
        <v>94</v>
      </c>
      <c r="C37" s="2"/>
      <c r="D37" s="1"/>
      <c r="E37" s="2">
        <f>E31*(C8+C9)</f>
        <v>2572500000</v>
      </c>
      <c r="F37" s="1"/>
    </row>
    <row r="38" spans="1:6" ht="12.75">
      <c r="A38" t="s">
        <v>95</v>
      </c>
      <c r="C38" s="2"/>
      <c r="D38" s="1"/>
      <c r="E38" s="2">
        <f>E32</f>
        <v>0</v>
      </c>
      <c r="F38" s="1"/>
    </row>
    <row r="39" spans="1:6" ht="12.75">
      <c r="A39" t="s">
        <v>98</v>
      </c>
      <c r="C39" s="2"/>
      <c r="D39" s="1"/>
      <c r="E39" s="2">
        <f>E33</f>
        <v>10500000</v>
      </c>
      <c r="F39" s="1"/>
    </row>
    <row r="40" spans="1:6" ht="12.75">
      <c r="A40" t="s">
        <v>99</v>
      </c>
      <c r="C40" s="2"/>
      <c r="D40" s="1"/>
      <c r="E40" s="2">
        <f>SUM(E35:E39)</f>
        <v>5024250000</v>
      </c>
      <c r="F40" s="1"/>
    </row>
    <row r="41" spans="3:6" ht="12.75">
      <c r="C41" s="2"/>
      <c r="D41" s="1"/>
      <c r="E41" s="2"/>
      <c r="F41" s="1"/>
    </row>
    <row r="42" spans="1:4" ht="12.75">
      <c r="A42" s="4"/>
      <c r="C42" s="2"/>
      <c r="D42" s="1"/>
    </row>
    <row r="43" ht="12.75">
      <c r="A43" s="3" t="s">
        <v>15</v>
      </c>
    </row>
    <row r="44" spans="1:4" ht="12.75">
      <c r="A44" s="4" t="s">
        <v>49</v>
      </c>
      <c r="C44" s="2">
        <v>500</v>
      </c>
      <c r="D44" s="1" t="s">
        <v>39</v>
      </c>
    </row>
    <row r="45" spans="1:4" ht="12.75">
      <c r="A45" s="4" t="s">
        <v>50</v>
      </c>
      <c r="C45" s="2">
        <v>1440</v>
      </c>
      <c r="D45" s="1" t="s">
        <v>39</v>
      </c>
    </row>
    <row r="46" spans="1:4" ht="12.75">
      <c r="A46" s="4" t="s">
        <v>19</v>
      </c>
      <c r="C46">
        <f>C89</f>
        <v>35</v>
      </c>
      <c r="D46" t="s">
        <v>20</v>
      </c>
    </row>
    <row r="47" spans="1:6" ht="12.75">
      <c r="A47" t="s">
        <v>17</v>
      </c>
      <c r="C47">
        <f>30*24*60</f>
        <v>43200</v>
      </c>
      <c r="D47" s="1" t="s">
        <v>16</v>
      </c>
      <c r="E47">
        <f>30*C47</f>
        <v>1296000</v>
      </c>
      <c r="F47" t="s">
        <v>18</v>
      </c>
    </row>
    <row r="48" spans="1:6" ht="12.75">
      <c r="A48" t="s">
        <v>21</v>
      </c>
      <c r="C48">
        <f>C47*C46/100</f>
        <v>15120</v>
      </c>
      <c r="D48" t="s">
        <v>16</v>
      </c>
      <c r="E48">
        <f>E47*C46/100</f>
        <v>453600</v>
      </c>
      <c r="F48" t="s">
        <v>18</v>
      </c>
    </row>
    <row r="49" spans="1:4" ht="12.75">
      <c r="A49" t="s">
        <v>32</v>
      </c>
      <c r="C49">
        <f>E48*C10</f>
        <v>12700800</v>
      </c>
      <c r="D49" t="s">
        <v>33</v>
      </c>
    </row>
    <row r="50" spans="1:6" ht="12.75">
      <c r="A50" t="s">
        <v>44</v>
      </c>
      <c r="C50">
        <f>(C10+C14-C11)</f>
        <v>29</v>
      </c>
      <c r="D50" t="s">
        <v>45</v>
      </c>
      <c r="E50">
        <f>C50*C22</f>
        <v>13920</v>
      </c>
      <c r="F50" t="s">
        <v>5</v>
      </c>
    </row>
    <row r="52" ht="12.75">
      <c r="A52" s="3" t="s">
        <v>34</v>
      </c>
    </row>
    <row r="53" spans="1:7" ht="12.75">
      <c r="A53" t="s">
        <v>40</v>
      </c>
      <c r="C53" s="2">
        <f>C49*C3</f>
        <v>1060516800</v>
      </c>
      <c r="D53" s="1" t="s">
        <v>0</v>
      </c>
      <c r="G53" t="s">
        <v>46</v>
      </c>
    </row>
    <row r="54" spans="1:7" ht="12.75">
      <c r="A54" t="s">
        <v>41</v>
      </c>
      <c r="C54" s="2">
        <f>(C10+C14)*E20</f>
        <v>3929770000</v>
      </c>
      <c r="D54" s="1" t="s">
        <v>0</v>
      </c>
      <c r="E54" t="s">
        <v>42</v>
      </c>
      <c r="G54" t="s">
        <v>46</v>
      </c>
    </row>
    <row r="55" spans="1:7" ht="12.75">
      <c r="A55" t="s">
        <v>43</v>
      </c>
      <c r="C55" s="2">
        <f>C50*C23</f>
        <v>348000000</v>
      </c>
      <c r="D55" s="1" t="s">
        <v>0</v>
      </c>
      <c r="G55" t="s">
        <v>47</v>
      </c>
    </row>
    <row r="56" spans="1:7" ht="12.75">
      <c r="A56" t="s">
        <v>51</v>
      </c>
      <c r="C56" s="2">
        <f>C49*C44</f>
        <v>6350400000</v>
      </c>
      <c r="D56" s="1" t="s">
        <v>0</v>
      </c>
      <c r="G56" t="s">
        <v>52</v>
      </c>
    </row>
    <row r="57" spans="1:7" ht="12.75">
      <c r="A57" t="s">
        <v>53</v>
      </c>
      <c r="C57" s="2">
        <f>C49*C45</f>
        <v>18289152000</v>
      </c>
      <c r="D57" s="1" t="s">
        <v>0</v>
      </c>
      <c r="G57" t="s">
        <v>54</v>
      </c>
    </row>
    <row r="58" spans="3:4" ht="12.75">
      <c r="C58" s="2"/>
      <c r="D58" s="1"/>
    </row>
    <row r="59" spans="1:4" ht="12.75">
      <c r="A59" s="3" t="s">
        <v>67</v>
      </c>
      <c r="C59" s="2"/>
      <c r="D59" s="1"/>
    </row>
    <row r="60" spans="1:4" ht="12.75">
      <c r="A60" s="4" t="s">
        <v>59</v>
      </c>
      <c r="C60" s="2">
        <v>5000000</v>
      </c>
      <c r="D60" s="1" t="s">
        <v>0</v>
      </c>
    </row>
    <row r="61" spans="1:4" ht="12.75">
      <c r="A61" s="4" t="s">
        <v>60</v>
      </c>
      <c r="C61" s="2">
        <v>20000000</v>
      </c>
      <c r="D61" s="1" t="s">
        <v>0</v>
      </c>
    </row>
    <row r="62" spans="1:4" ht="12.75">
      <c r="A62" s="4" t="s">
        <v>61</v>
      </c>
      <c r="C62" s="2">
        <v>3000000</v>
      </c>
      <c r="D62" s="1" t="s">
        <v>0</v>
      </c>
    </row>
    <row r="63" spans="1:4" ht="12.75">
      <c r="A63" s="4" t="s">
        <v>62</v>
      </c>
      <c r="C63" s="2">
        <v>1000000</v>
      </c>
      <c r="D63" s="1" t="s">
        <v>0</v>
      </c>
    </row>
    <row r="64" spans="1:4" ht="12.75">
      <c r="A64" s="4" t="s">
        <v>64</v>
      </c>
      <c r="C64" s="2">
        <v>10000000</v>
      </c>
      <c r="D64" s="1" t="s">
        <v>0</v>
      </c>
    </row>
    <row r="65" spans="1:4" ht="12.75">
      <c r="A65" s="4" t="s">
        <v>63</v>
      </c>
      <c r="C65" s="2">
        <f>SUM(C60:C64)</f>
        <v>39000000</v>
      </c>
      <c r="D65" s="1" t="s">
        <v>0</v>
      </c>
    </row>
    <row r="67" ht="12.75">
      <c r="A67" s="3" t="s">
        <v>55</v>
      </c>
    </row>
    <row r="68" spans="1:7" ht="12.75">
      <c r="A68" t="s">
        <v>41</v>
      </c>
      <c r="C68" s="2">
        <f>C54</f>
        <v>3929770000</v>
      </c>
      <c r="D68" s="1" t="s">
        <v>0</v>
      </c>
      <c r="E68" t="s">
        <v>42</v>
      </c>
      <c r="G68" t="s">
        <v>46</v>
      </c>
    </row>
    <row r="69" spans="1:7" ht="12.75">
      <c r="A69" t="s">
        <v>43</v>
      </c>
      <c r="C69" s="2">
        <f>C55</f>
        <v>348000000</v>
      </c>
      <c r="D69" s="1" t="s">
        <v>0</v>
      </c>
      <c r="G69" t="s">
        <v>47</v>
      </c>
    </row>
    <row r="70" spans="1:7" ht="12.75">
      <c r="A70" t="s">
        <v>112</v>
      </c>
      <c r="C70" s="2">
        <f>0</f>
        <v>0</v>
      </c>
      <c r="D70" s="1" t="s">
        <v>113</v>
      </c>
      <c r="G70" t="s">
        <v>46</v>
      </c>
    </row>
    <row r="71" spans="1:7" ht="12.75">
      <c r="A71" t="s">
        <v>56</v>
      </c>
      <c r="C71" s="5">
        <f>0.1*C56</f>
        <v>635040000</v>
      </c>
      <c r="D71" s="1" t="s">
        <v>0</v>
      </c>
      <c r="G71" t="s">
        <v>73</v>
      </c>
    </row>
    <row r="72" spans="1:7" ht="12.75">
      <c r="A72" t="s">
        <v>57</v>
      </c>
      <c r="C72" s="7">
        <f>0.015*C56</f>
        <v>95256000</v>
      </c>
      <c r="D72" s="1" t="s">
        <v>0</v>
      </c>
      <c r="G72" t="s">
        <v>73</v>
      </c>
    </row>
    <row r="73" spans="1:5" ht="12.75">
      <c r="A73" t="s">
        <v>65</v>
      </c>
      <c r="C73" s="2">
        <f>C65*(C8+C9)</f>
        <v>273000000</v>
      </c>
      <c r="D73" s="1" t="s">
        <v>0</v>
      </c>
      <c r="E73" t="s">
        <v>66</v>
      </c>
    </row>
    <row r="74" spans="1:4" ht="12.75">
      <c r="A74" t="s">
        <v>68</v>
      </c>
      <c r="C74" s="2">
        <f>SUM(C68:C73)</f>
        <v>5281066000</v>
      </c>
      <c r="D74" s="1" t="s">
        <v>0</v>
      </c>
    </row>
    <row r="76" ht="12.75">
      <c r="A76" s="3" t="s">
        <v>72</v>
      </c>
    </row>
    <row r="77" spans="1:4" ht="12.75">
      <c r="A77" s="4" t="s">
        <v>104</v>
      </c>
      <c r="C77">
        <f>C90</f>
        <v>0</v>
      </c>
      <c r="D77" t="s">
        <v>20</v>
      </c>
    </row>
    <row r="78" spans="1:7" ht="12.75">
      <c r="A78" t="s">
        <v>58</v>
      </c>
      <c r="C78" s="6">
        <f>0.02*C56</f>
        <v>127008000</v>
      </c>
      <c r="D78" s="1" t="s">
        <v>0</v>
      </c>
      <c r="G78" t="s">
        <v>74</v>
      </c>
    </row>
    <row r="79" spans="1:7" ht="12.75">
      <c r="A79" t="s">
        <v>69</v>
      </c>
      <c r="C79" s="7">
        <f>0.025*C56</f>
        <v>158760000</v>
      </c>
      <c r="D79" s="1" t="s">
        <v>0</v>
      </c>
      <c r="G79" t="s">
        <v>74</v>
      </c>
    </row>
    <row r="80" spans="1:8" ht="12.75">
      <c r="A80" t="s">
        <v>105</v>
      </c>
      <c r="C80" s="5">
        <f>C56*C77/100</f>
        <v>0</v>
      </c>
      <c r="D80" s="1" t="s">
        <v>0</v>
      </c>
      <c r="E80">
        <f>ROUNDDOWN(C80/(C5*C4),0)</f>
        <v>0</v>
      </c>
      <c r="F80" s="1" t="s">
        <v>106</v>
      </c>
      <c r="G80">
        <f>12*E80</f>
        <v>0</v>
      </c>
      <c r="H80" s="1" t="s">
        <v>107</v>
      </c>
    </row>
    <row r="81" spans="1:4" ht="12.75">
      <c r="A81" t="s">
        <v>126</v>
      </c>
      <c r="C81" s="5">
        <f>0.1*C56</f>
        <v>635040000</v>
      </c>
      <c r="D81" s="1" t="s">
        <v>0</v>
      </c>
    </row>
    <row r="82" spans="1:4" ht="12.75">
      <c r="A82" t="s">
        <v>77</v>
      </c>
      <c r="C82" s="6">
        <f>SUM(C78:C81)</f>
        <v>920808000</v>
      </c>
      <c r="D82" s="1" t="s">
        <v>0</v>
      </c>
    </row>
    <row r="84" spans="1:4" ht="12.75">
      <c r="A84" t="s">
        <v>100</v>
      </c>
      <c r="C84" s="6">
        <f>C82+C74</f>
        <v>6201874000</v>
      </c>
      <c r="D84" s="1" t="s">
        <v>0</v>
      </c>
    </row>
    <row r="85" spans="1:4" ht="12.75">
      <c r="A85" t="s">
        <v>101</v>
      </c>
      <c r="C85" s="6">
        <f>C56-C84</f>
        <v>148526000</v>
      </c>
      <c r="D85" s="1" t="s">
        <v>0</v>
      </c>
    </row>
    <row r="86" spans="1:4" ht="12.75">
      <c r="A86" t="s">
        <v>102</v>
      </c>
      <c r="C86">
        <f>ROUNDUP(E40/C85,0)</f>
        <v>34</v>
      </c>
      <c r="D86" t="s">
        <v>103</v>
      </c>
    </row>
    <row r="88" ht="12.75">
      <c r="A88" s="3" t="s">
        <v>108</v>
      </c>
    </row>
    <row r="89" spans="1:4" ht="12.75">
      <c r="A89" s="4" t="s">
        <v>119</v>
      </c>
      <c r="C89">
        <v>35</v>
      </c>
      <c r="D89" t="s">
        <v>118</v>
      </c>
    </row>
    <row r="90" spans="1:4" ht="12.75">
      <c r="A90" s="4" t="s">
        <v>104</v>
      </c>
      <c r="C90">
        <v>0</v>
      </c>
      <c r="D90" t="s">
        <v>118</v>
      </c>
    </row>
    <row r="91" spans="1:4" ht="12.75">
      <c r="A91" t="s">
        <v>109</v>
      </c>
      <c r="C91" s="12">
        <f>C56+C53</f>
        <v>7410916800</v>
      </c>
      <c r="D91" s="1" t="s">
        <v>0</v>
      </c>
    </row>
    <row r="92" spans="1:6" ht="12.75">
      <c r="A92" t="s">
        <v>110</v>
      </c>
      <c r="C92" s="12">
        <f>C68+C53+C70</f>
        <v>4990286800</v>
      </c>
      <c r="D92" s="1" t="s">
        <v>0</v>
      </c>
      <c r="E92" s="9">
        <f>C92*100/C91</f>
        <v>67.33696969853986</v>
      </c>
      <c r="F92" t="s">
        <v>118</v>
      </c>
    </row>
    <row r="93" spans="1:6" ht="12.75">
      <c r="A93" t="s">
        <v>111</v>
      </c>
      <c r="C93" s="12">
        <f>C69</f>
        <v>348000000</v>
      </c>
      <c r="D93" s="1" t="s">
        <v>0</v>
      </c>
      <c r="E93" s="9">
        <f>C93*100/C91</f>
        <v>4.695775291931493</v>
      </c>
      <c r="F93" t="s">
        <v>118</v>
      </c>
    </row>
    <row r="94" spans="1:6" ht="12.75">
      <c r="A94" t="s">
        <v>114</v>
      </c>
      <c r="C94" s="12">
        <f>SUM(C71:C72)</f>
        <v>730296000</v>
      </c>
      <c r="D94" s="1" t="s">
        <v>0</v>
      </c>
      <c r="E94" s="9">
        <f>C94*100/C91</f>
        <v>9.85432733504713</v>
      </c>
      <c r="F94" t="s">
        <v>118</v>
      </c>
    </row>
    <row r="95" spans="1:6" ht="12.75">
      <c r="A95" t="s">
        <v>115</v>
      </c>
      <c r="C95" s="12">
        <f>C78</f>
        <v>127008000</v>
      </c>
      <c r="D95" s="1" t="s">
        <v>0</v>
      </c>
      <c r="E95" s="9">
        <f>C95*100/C91</f>
        <v>1.713796058269066</v>
      </c>
      <c r="F95" t="s">
        <v>118</v>
      </c>
    </row>
    <row r="96" spans="1:6" ht="12.75">
      <c r="A96" t="s">
        <v>116</v>
      </c>
      <c r="C96" s="12">
        <f>C80+C81+C79</f>
        <v>793800000</v>
      </c>
      <c r="D96" s="1" t="s">
        <v>0</v>
      </c>
      <c r="E96" s="9">
        <f>C96*100/C91</f>
        <v>10.711225364181663</v>
      </c>
      <c r="F96" t="s">
        <v>118</v>
      </c>
    </row>
    <row r="97" spans="1:6" ht="12.75">
      <c r="A97" t="s">
        <v>117</v>
      </c>
      <c r="C97" s="12">
        <f>C73</f>
        <v>273000000</v>
      </c>
      <c r="D97" s="1" t="s">
        <v>0</v>
      </c>
      <c r="E97" s="9">
        <f>C97*100/C91</f>
        <v>3.6837547548772913</v>
      </c>
      <c r="F97" t="s">
        <v>118</v>
      </c>
    </row>
    <row r="98" spans="1:6" ht="12.75">
      <c r="A98" t="s">
        <v>123</v>
      </c>
      <c r="C98" s="12">
        <f>C85</f>
        <v>148526000</v>
      </c>
      <c r="D98" s="1" t="s">
        <v>0</v>
      </c>
      <c r="E98" s="9">
        <f>C98*100/C91</f>
        <v>2.0041514971534964</v>
      </c>
      <c r="F98" t="s">
        <v>118</v>
      </c>
    </row>
    <row r="99" ht="12.75">
      <c r="C99" s="12"/>
    </row>
    <row r="100" spans="1:6" ht="12.75">
      <c r="A100" t="s">
        <v>121</v>
      </c>
      <c r="C100" s="12">
        <f>C57-C92-C93</f>
        <v>12950865200</v>
      </c>
      <c r="D100" s="1" t="s">
        <v>0</v>
      </c>
      <c r="E100">
        <f>C100*100/C57</f>
        <v>70.81173145698608</v>
      </c>
      <c r="F100" t="s">
        <v>118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6">
      <selection activeCell="A36" sqref="A3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writer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Onno W Purbo</dc:creator>
  <cp:keywords/>
  <dc:description/>
  <cp:lastModifiedBy>Onno W. Purbo</cp:lastModifiedBy>
  <dcterms:created xsi:type="dcterms:W3CDTF">2002-01-15T07:21:20Z</dcterms:created>
  <dcterms:modified xsi:type="dcterms:W3CDTF">2003-10-21T23:50:07Z</dcterms:modified>
  <cp:category/>
  <cp:version/>
  <cp:contentType/>
  <cp:contentStatus/>
</cp:coreProperties>
</file>